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rebella\Documents\"/>
    </mc:Choice>
  </mc:AlternateContent>
  <xr:revisionPtr revIDLastSave="0" documentId="8_{F4E37709-8947-4812-A977-9A851ED0A4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puts" sheetId="8" r:id="rId1"/>
    <sheet name="FHA Waterfall" sheetId="16" r:id="rId2"/>
    <sheet name="MIP Calculator" sheetId="13" state="hidden" r:id="rId3"/>
    <sheet name="Workout Result" sheetId="11" state="hidden" r:id="rId4"/>
    <sheet name="Data Validation" sheetId="14" state="hidden" r:id="rId5"/>
  </sheets>
  <externalReferences>
    <externalReference r:id="rId6"/>
    <externalReference r:id="rId7"/>
  </externalReferences>
  <definedNames>
    <definedName name="AffNeg" localSheetId="1">#REF!</definedName>
    <definedName name="AffNeg">#REF!</definedName>
    <definedName name="CAPUPB">'Data Validation'!$B$20</definedName>
    <definedName name="Current">'[1]Data Validation'!$I$2:$J$4</definedName>
    <definedName name="DDate">Inputs!$M$28</definedName>
    <definedName name="DIPMT">'Data Validation'!#REF!</definedName>
    <definedName name="DMPC">'Data Validation'!$B$5</definedName>
    <definedName name="DMWIP">'Data Validation'!$B$6</definedName>
    <definedName name="DSAHM">'Data Validation'!$B$3</definedName>
    <definedName name="DSAM">'Data Validation'!#REF!</definedName>
    <definedName name="DSAPC">'Data Validation'!$B$4</definedName>
    <definedName name="DSAPM">'Data Validation'!#REF!</definedName>
    <definedName name="DTI">'[2]Tier 2 - Standard'!$P$32</definedName>
    <definedName name="DTI_Range">'[2]Data Validation'!$D$2:$F$19</definedName>
    <definedName name="DUPB">Inputs!$M$31</definedName>
    <definedName name="EMPC">'Data Validation'!#REF!</definedName>
    <definedName name="FPAY">Inputs!$M$11</definedName>
    <definedName name="fpdate" localSheetId="1">#REF!</definedName>
    <definedName name="fpdate">#REF!</definedName>
    <definedName name="GFORB">'Data Validation'!$B$8</definedName>
    <definedName name="GIPMT">'Data Validation'!#REF!</definedName>
    <definedName name="GMI">Inputs!$E$37</definedName>
    <definedName name="GMPC">'Data Validation'!#REF!</definedName>
    <definedName name="GMPCAD">'Data Validation'!#REF!</definedName>
    <definedName name="GSAHM">'Data Validation'!$B$10</definedName>
    <definedName name="GSAM">'Data Validation'!#REF!</definedName>
    <definedName name="GSAPC">'Data Validation'!$B$11</definedName>
    <definedName name="GTM">'Data Validation'!$B$9</definedName>
    <definedName name="infotype">'Data Validation'!$B$17</definedName>
    <definedName name="JulyRules">'[2]Data Validation'!$A$12</definedName>
    <definedName name="LOANTERM">Inputs!$M$9</definedName>
    <definedName name="Market">Inputs!$M$43</definedName>
    <definedName name="MaxDTI">'[2]Tier 2 - Standard'!$N$30</definedName>
    <definedName name="MinDTI">'[2]Tier 2 - Standard'!$L$30</definedName>
    <definedName name="MIP">'MIP Calculator'!$C$7</definedName>
    <definedName name="MIPFIN">Inputs!$M$16</definedName>
    <definedName name="MIPMATRIX">'MIP Calculator'!$E$2:$L$5</definedName>
    <definedName name="MIPRATE">'MIP Calculator'!$A$18</definedName>
    <definedName name="NoMod">'Data Validation'!$B$14</definedName>
    <definedName name="nper" localSheetId="1">'FHA Waterfall'!term*12</definedName>
    <definedName name="nper" localSheetId="0">Inputs!TERM*12</definedName>
    <definedName name="nper">term*12</definedName>
    <definedName name="NPRINC">'FHA Waterfall'!$M$34</definedName>
    <definedName name="NRATE">'FHA Waterfall'!$M$36</definedName>
    <definedName name="NTERM">'FHA Waterfall'!$M$37</definedName>
    <definedName name="numsteps">'[2]Data Validation'!$B$4</definedName>
    <definedName name="OPRINC">Inputs!$M$8</definedName>
    <definedName name="ORATE">Inputs!$M$18</definedName>
    <definedName name="OutcomeMatrix">'Data Validation'!$E$3:$L$10</definedName>
    <definedName name="OVALUE">Inputs!$M$17</definedName>
    <definedName name="Owner">'[2]Data Validation'!$A$10</definedName>
    <definedName name="Payoff">Inputs!$M$25</definedName>
    <definedName name="PIFAIL">'[2]Data Validation'!$A$6</definedName>
    <definedName name="PIREDUCTION">'[2]Tier 2 - Standard'!$P$39</definedName>
    <definedName name="PMMS">'[2]Data Validation'!$B$5</definedName>
    <definedName name="PMUPB">'[1]HAMP Tier 1'!$E$22</definedName>
    <definedName name="_xlnm.Print_Area" localSheetId="1">'FHA Waterfall'!$A$1:$O$41</definedName>
    <definedName name="PTM">'Data Validation'!#REF!</definedName>
    <definedName name="rangeunknown">'[2]Data Validation'!$A$14</definedName>
    <definedName name="rate">Inputs!$M$10</definedName>
    <definedName name="RateType">#REF!</definedName>
    <definedName name="Rental">#REF!</definedName>
    <definedName name="Servicer">#REF!</definedName>
    <definedName name="Servicer_List">'[2]Data Validation'!$D$2:$D$20</definedName>
    <definedName name="sline">'[2]Data Validation'!$A$13</definedName>
    <definedName name="StepFive">'Data Validation'!$B$2</definedName>
    <definedName name="StepFour">'Data Validation'!$B$1</definedName>
    <definedName name="StepSix">'Data Validation'!$B$3</definedName>
    <definedName name="StepThree">'Data Validation'!#REF!</definedName>
    <definedName name="T2DEBT">#REF!</definedName>
    <definedName name="T2PITIA">'[2]Tier 2 - Standard'!$P$28</definedName>
    <definedName name="Target">'FHA Waterfall'!$F$26</definedName>
    <definedName name="term" localSheetId="1">#REF!</definedName>
    <definedName name="TERM" localSheetId="0">Inputs!$M$9</definedName>
    <definedName name="term">#REF!</definedName>
    <definedName name="Test" localSheetId="1">'FHA Waterfall'!#REF!</definedName>
    <definedName name="Test">#REF!</definedName>
    <definedName name="TIA">Inputs!$N$21</definedName>
    <definedName name="TODAY">Inputs!$M$29</definedName>
    <definedName name="TYPE">#REF!</definedName>
    <definedName name="UFMIPRATE">'MIP Calculator'!$B$18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4" l="1"/>
  <c r="E32" i="8"/>
  <c r="D32" i="8"/>
  <c r="E27" i="8"/>
  <c r="B25" i="8"/>
  <c r="E17" i="8"/>
  <c r="D17" i="8"/>
  <c r="E12" i="8"/>
  <c r="D12" i="8"/>
  <c r="E8" i="8"/>
  <c r="B6" i="8"/>
  <c r="J47" i="8"/>
  <c r="E34" i="8" l="1"/>
  <c r="E19" i="8"/>
  <c r="F4" i="13"/>
  <c r="L2" i="13"/>
  <c r="H2" i="13"/>
  <c r="I2" i="13"/>
  <c r="J2" i="13"/>
  <c r="K2" i="13"/>
  <c r="G2" i="13"/>
  <c r="F2" i="13"/>
  <c r="J18" i="8"/>
  <c r="J17" i="8"/>
  <c r="J19" i="8"/>
  <c r="J41" i="8"/>
  <c r="M21" i="8"/>
  <c r="H9" i="14"/>
  <c r="K4" i="14"/>
  <c r="M29" i="8"/>
  <c r="E37" i="8" l="1"/>
  <c r="F6" i="16" s="1"/>
  <c r="B18" i="13"/>
  <c r="C10" i="13" s="1"/>
  <c r="M30" i="8"/>
  <c r="H10" i="14"/>
  <c r="F23" i="16" l="1"/>
  <c r="F21" i="16"/>
  <c r="M32" i="8"/>
  <c r="M34" i="8"/>
  <c r="M33" i="8"/>
  <c r="B17" i="14"/>
  <c r="M31" i="8" s="1"/>
  <c r="F29" i="16" s="1"/>
  <c r="J5" i="13" l="1"/>
  <c r="H5" i="13"/>
  <c r="F5" i="13"/>
  <c r="K5" i="13"/>
  <c r="I5" i="13"/>
  <c r="G5" i="13"/>
  <c r="C16" i="13"/>
  <c r="J35" i="8"/>
  <c r="J36" i="8"/>
  <c r="J27" i="8"/>
  <c r="J38" i="8"/>
  <c r="J37" i="8"/>
  <c r="J34" i="8"/>
  <c r="J33" i="8"/>
  <c r="J32" i="8"/>
  <c r="J31" i="8"/>
  <c r="J30" i="8"/>
  <c r="J29" i="8"/>
  <c r="J26" i="8"/>
  <c r="B2" i="13"/>
  <c r="M35" i="8"/>
  <c r="J20" i="8"/>
  <c r="J16" i="8"/>
  <c r="M43" i="8"/>
  <c r="J7" i="8"/>
  <c r="F30" i="16"/>
  <c r="C13" i="13" l="1"/>
  <c r="L5" i="13" s="1"/>
  <c r="J9" i="14"/>
  <c r="K9" i="14"/>
  <c r="I9" i="14"/>
  <c r="G9" i="14"/>
  <c r="N5" i="16"/>
  <c r="B1" i="13"/>
  <c r="A4" i="13" s="1"/>
  <c r="L4" i="13" l="1"/>
  <c r="K4" i="13"/>
  <c r="A18" i="13" s="1"/>
  <c r="J4" i="13"/>
  <c r="I4" i="13"/>
  <c r="H4" i="13"/>
  <c r="G4" i="13"/>
  <c r="B4" i="13"/>
  <c r="A5" i="13"/>
  <c r="B5" i="13" s="1"/>
  <c r="F31" i="16"/>
  <c r="N14" i="16" l="1"/>
  <c r="A6" i="13"/>
  <c r="B6" i="13" s="1"/>
  <c r="A7" i="13" l="1"/>
  <c r="B7" i="13" s="1"/>
  <c r="A8" i="13" l="1"/>
  <c r="A9" i="13" l="1"/>
  <c r="B8" i="13"/>
  <c r="B9" i="13" l="1"/>
  <c r="A10" i="13"/>
  <c r="B10" i="13" l="1"/>
  <c r="A11" i="13"/>
  <c r="B11" i="13" l="1"/>
  <c r="A12" i="13"/>
  <c r="B12" i="13" l="1"/>
  <c r="A13" i="13"/>
  <c r="B13" i="13" l="1"/>
  <c r="A14" i="13"/>
  <c r="B14" i="13" l="1"/>
  <c r="A15" i="13"/>
  <c r="B15" i="13" s="1"/>
  <c r="C4" i="13" l="1"/>
  <c r="C7" i="13" s="1"/>
  <c r="M19" i="8" l="1"/>
  <c r="M36" i="8" s="1"/>
  <c r="M22" i="8" l="1"/>
  <c r="M38" i="8"/>
  <c r="F13" i="16" l="1"/>
  <c r="F12" i="16"/>
  <c r="B20" i="14"/>
  <c r="N7" i="16"/>
  <c r="F5" i="16"/>
  <c r="F7" i="16" s="1"/>
  <c r="F8" i="16" s="1"/>
  <c r="B1" i="14" s="1"/>
  <c r="N21" i="8"/>
  <c r="H8" i="14"/>
  <c r="H5" i="14"/>
  <c r="F22" i="16"/>
  <c r="F24" i="16" s="1"/>
  <c r="F25" i="16" s="1"/>
  <c r="F26" i="16" s="1"/>
  <c r="N6" i="16" s="1"/>
  <c r="F14" i="16" l="1"/>
  <c r="F15" i="16" s="1"/>
  <c r="B41" i="8"/>
  <c r="F36" i="16"/>
  <c r="I5" i="14" s="1"/>
  <c r="I6" i="14" s="1"/>
  <c r="H7" i="14"/>
  <c r="H6" i="14"/>
  <c r="I7" i="14"/>
  <c r="N8" i="16"/>
  <c r="K7" i="14"/>
  <c r="K8" i="14" s="1"/>
  <c r="N19" i="16"/>
  <c r="K5" i="14" s="1"/>
  <c r="K6" i="14" s="1"/>
  <c r="N13" i="16"/>
  <c r="J7" i="14" s="1"/>
  <c r="J8" i="14" s="1"/>
  <c r="G5" i="14"/>
  <c r="G6" i="14" s="1"/>
  <c r="G7" i="14"/>
  <c r="F35" i="16"/>
  <c r="J5" i="14"/>
  <c r="J6" i="14" s="1"/>
  <c r="B2" i="14" l="1"/>
  <c r="B3" i="14" s="1"/>
  <c r="N20" i="16"/>
  <c r="N21" i="16" s="1"/>
  <c r="F37" i="16"/>
  <c r="L5" i="14"/>
  <c r="N15" i="16"/>
  <c r="C39" i="16" l="1"/>
  <c r="C9" i="16"/>
  <c r="B8" i="14"/>
  <c r="C16" i="16"/>
  <c r="B14" i="16"/>
  <c r="B13" i="16"/>
  <c r="B12" i="16"/>
  <c r="B11" i="16"/>
  <c r="B15" i="16"/>
  <c r="F3" i="14" l="1"/>
  <c r="G3" i="14"/>
  <c r="C36" i="16" l="1"/>
  <c r="B37" i="16"/>
  <c r="B34" i="16"/>
  <c r="C35" i="16"/>
  <c r="B10" i="14"/>
  <c r="B33" i="16"/>
  <c r="B4" i="14" l="1"/>
  <c r="J3" i="16" s="1"/>
  <c r="I3" i="14"/>
  <c r="K7" i="16" l="1"/>
  <c r="J8" i="16"/>
  <c r="J4" i="16"/>
  <c r="K6" i="16"/>
  <c r="K5" i="16"/>
  <c r="B11" i="14"/>
  <c r="B5" i="14" s="1"/>
  <c r="B31" i="16"/>
  <c r="B28" i="16"/>
  <c r="B26" i="16"/>
  <c r="C24" i="16"/>
  <c r="C22" i="16"/>
  <c r="C29" i="16"/>
  <c r="C21" i="16"/>
  <c r="C23" i="16"/>
  <c r="B20" i="16"/>
  <c r="C25" i="16"/>
  <c r="C30" i="16"/>
  <c r="A18" i="16"/>
  <c r="J15" i="16" l="1"/>
  <c r="K9" i="16"/>
  <c r="J11" i="16"/>
  <c r="J12" i="16"/>
  <c r="K13" i="16"/>
  <c r="K14" i="16"/>
  <c r="B12" i="14"/>
  <c r="J3" i="14" s="1"/>
  <c r="H3" i="14"/>
  <c r="B6" i="14" l="1"/>
  <c r="K19" i="16" s="1"/>
  <c r="J21" i="16" l="1"/>
  <c r="K20" i="16"/>
  <c r="J17" i="16"/>
  <c r="B13" i="14"/>
  <c r="B14" i="14" s="1"/>
  <c r="K23" i="16" s="1"/>
  <c r="J18" i="16"/>
  <c r="K3" i="14" l="1"/>
  <c r="K32" i="16"/>
  <c r="L3" i="14"/>
  <c r="M37" i="16" l="1"/>
  <c r="M32" i="16"/>
  <c r="L30" i="16"/>
  <c r="M35" i="16"/>
  <c r="M33" i="16"/>
  <c r="M34" i="16"/>
  <c r="M36" i="16"/>
</calcChain>
</file>

<file path=xl/sharedStrings.xml><?xml version="1.0" encoding="utf-8"?>
<sst xmlns="http://schemas.openxmlformats.org/spreadsheetml/2006/main" count="122" uniqueCount="107">
  <si>
    <t>Employment Income</t>
  </si>
  <si>
    <t>Fixed Income</t>
  </si>
  <si>
    <t>Rental income</t>
  </si>
  <si>
    <t>Contribution</t>
  </si>
  <si>
    <t>PITIA</t>
  </si>
  <si>
    <t>MORTGAGE INFORMATION</t>
  </si>
  <si>
    <t>SSI, Food Stamps, etc.</t>
  </si>
  <si>
    <t>SSA / SSD / Pension</t>
  </si>
  <si>
    <t>Loan Terms</t>
  </si>
  <si>
    <t>Original Principal</t>
  </si>
  <si>
    <t>Borrower Gross Monthly Income</t>
  </si>
  <si>
    <t>Market Interest Rate</t>
  </si>
  <si>
    <t>Date of First Payment</t>
  </si>
  <si>
    <t>FHA WATERFALL</t>
  </si>
  <si>
    <t>FHA WATERFALL INPUTS</t>
  </si>
  <si>
    <t>Gross Monthly Income</t>
  </si>
  <si>
    <t>Monthly MIP</t>
  </si>
  <si>
    <t>Average Principal</t>
  </si>
  <si>
    <t>Principal</t>
  </si>
  <si>
    <t>Month #</t>
  </si>
  <si>
    <t>Year of Mortgage:</t>
  </si>
  <si>
    <t>Principal &amp; Interest</t>
  </si>
  <si>
    <t>Result</t>
  </si>
  <si>
    <t>Previous Partial Claims</t>
  </si>
  <si>
    <t>Step Four</t>
  </si>
  <si>
    <t>Step Five</t>
  </si>
  <si>
    <t>Yes</t>
  </si>
  <si>
    <t>Get mod w/ PC</t>
  </si>
  <si>
    <t>Get SAPC</t>
  </si>
  <si>
    <t>Get mod w/ increased pmt</t>
  </si>
  <si>
    <t>Get 6 mo forbearance</t>
  </si>
  <si>
    <t>Partial Claim</t>
  </si>
  <si>
    <t>Interest Rate</t>
  </si>
  <si>
    <t>Remaining Term</t>
  </si>
  <si>
    <t>No Mod</t>
  </si>
  <si>
    <t>FHA WORKOUT TERMS</t>
  </si>
  <si>
    <t>Monthly Subtotal</t>
  </si>
  <si>
    <t>Timing of Employment Income</t>
  </si>
  <si>
    <t>Monthly Employment Income</t>
  </si>
  <si>
    <t>Co-Borrower Gross Monthly Income</t>
  </si>
  <si>
    <t>Untaxed Income</t>
  </si>
  <si>
    <t>Loan Type</t>
  </si>
  <si>
    <t>Market Rate (rounded to nearest 1/8)</t>
  </si>
  <si>
    <t>Term (in months)</t>
  </si>
  <si>
    <t>Maximum Risk Adjustment</t>
  </si>
  <si>
    <t>Amount of Any Previous Partial Claims</t>
  </si>
  <si>
    <t>Get traditional mod</t>
  </si>
  <si>
    <t>Interest Bearing Principal</t>
  </si>
  <si>
    <t>For questions or comments about this worksheet, please contact Joseph Rebella</t>
  </si>
  <si>
    <t>MFY Legal Services, Inc.'s Proprietary FHA Waterfall Worksheet</t>
  </si>
  <si>
    <t>Current with FAQ for ML 2013-32</t>
  </si>
  <si>
    <t>Known MIP?</t>
  </si>
  <si>
    <t>Current Interest Rate</t>
  </si>
  <si>
    <t>MIP RATE</t>
  </si>
  <si>
    <t>Monthly Property Taxes</t>
  </si>
  <si>
    <t>Monthly Homeowner's Insurance</t>
  </si>
  <si>
    <t>Monthly Association Fees</t>
  </si>
  <si>
    <t>UPB Information:</t>
  </si>
  <si>
    <t>Determine Data Type</t>
  </si>
  <si>
    <t>Arrears and Unpaid Principal Balance</t>
  </si>
  <si>
    <t>Get SAHM</t>
  </si>
  <si>
    <t>Do SAHM Analysis?</t>
  </si>
  <si>
    <t>Do MWPC Analysis?</t>
  </si>
  <si>
    <t>Do MWIP Analysis?</t>
  </si>
  <si>
    <t>Monthly P&amp;I</t>
  </si>
  <si>
    <t>OUTCOME MATRIX</t>
  </si>
  <si>
    <t>Forbearance</t>
  </si>
  <si>
    <t>Traditional Mod</t>
  </si>
  <si>
    <t>Stand Alone PC</t>
  </si>
  <si>
    <t>Stand Alone Mod</t>
  </si>
  <si>
    <t>Mod with PC</t>
  </si>
  <si>
    <t>Mod with Increased Payment</t>
  </si>
  <si>
    <t>Message</t>
  </si>
  <si>
    <t>Six Month Forbearance</t>
  </si>
  <si>
    <t>Stand Alone Partial Claim</t>
  </si>
  <si>
    <t>Stand Alone FHA-HAMP Modification</t>
  </si>
  <si>
    <t>FHA-HAMP Modification with Partial Claim</t>
  </si>
  <si>
    <t>Not Eligible: DTI Exceeds 40%</t>
  </si>
  <si>
    <t>P&amp;I</t>
  </si>
  <si>
    <t>Int Bear Princ.</t>
  </si>
  <si>
    <t>Rate</t>
  </si>
  <si>
    <t>Term</t>
  </si>
  <si>
    <t>FHA Traditional Loan Modification</t>
  </si>
  <si>
    <t>Upfront MIP Rate</t>
  </si>
  <si>
    <t>Annual MIP Rate</t>
  </si>
  <si>
    <t>Purchase LTV</t>
  </si>
  <si>
    <t>Current LTV</t>
  </si>
  <si>
    <t>Upfront MIP</t>
  </si>
  <si>
    <t>Present</t>
  </si>
  <si>
    <t>Fixed Rate</t>
  </si>
  <si>
    <t>Annual MIP</t>
  </si>
  <si>
    <t>Upfront MIP Financed</t>
  </si>
  <si>
    <t>In effect?</t>
  </si>
  <si>
    <t>Default Date</t>
  </si>
  <si>
    <t>Is front-end DTI at or less than 31%?</t>
  </si>
  <si>
    <t>Ratio</t>
  </si>
  <si>
    <t>Current Payment</t>
  </si>
  <si>
    <t>FORMAL FORBEARANCE</t>
  </si>
  <si>
    <t>Capitalized UPB</t>
  </si>
  <si>
    <t>FHA LOSS MITIGATION RESULTS</t>
  </si>
  <si>
    <t>Expenses (If Necessary)</t>
  </si>
  <si>
    <t>Biweekly</t>
  </si>
  <si>
    <t>UPB at Default</t>
  </si>
  <si>
    <t>Current with FAQ for ML 2016-14</t>
  </si>
  <si>
    <t>Do SAPC Analysis</t>
  </si>
  <si>
    <t>Monthly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</si>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</sst>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</numFmts>
  <fonts count="2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i/>
      <sz val="10"/>
      <name val="Arial"/>
      <family val="2"/>
    </font>
    <font>
      <u/>
      <sz val="10"/>
      <color indexed="12"/>
      <name val="Verdana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u/>
      <sz val="12"/>
      <name val="Times New Roman"/>
      <family val="1"/>
    </font>
    <font>
      <i/>
      <sz val="8"/>
      <name val="Arial"/>
      <family val="2"/>
    </font>
    <font>
      <sz val="10"/>
      <name val="Arial"/>
      <family val="2"/>
    </font>
    <font>
      <b/>
      <sz val="12"/>
      <name val="Ariel"/>
    </font>
    <font>
      <b/>
      <sz val="14"/>
      <color theme="0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u/>
      <sz val="10"/>
      <color theme="11"/>
      <name val="Arial"/>
      <family val="2"/>
    </font>
    <font>
      <i/>
      <sz val="9"/>
      <name val="Times New Roman"/>
      <family val="1"/>
    </font>
    <font>
      <u/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CC99FF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19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/>
    <xf numFmtId="164" fontId="5" fillId="0" borderId="0" xfId="1" applyNumberFormat="1" applyFont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2" borderId="0" xfId="0" applyFill="1" applyBorder="1"/>
    <xf numFmtId="0" fontId="12" fillId="0" borderId="0" xfId="0" applyFont="1" applyBorder="1"/>
    <xf numFmtId="0" fontId="0" fillId="0" borderId="2" xfId="0" applyBorder="1"/>
    <xf numFmtId="0" fontId="0" fillId="0" borderId="3" xfId="0" applyBorder="1"/>
    <xf numFmtId="43" fontId="1" fillId="0" borderId="0" xfId="1" applyBorder="1"/>
    <xf numFmtId="0" fontId="8" fillId="0" borderId="0" xfId="0" applyFont="1" applyBorder="1"/>
    <xf numFmtId="0" fontId="0" fillId="0" borderId="0" xfId="0" quotePrefix="1" applyBorder="1"/>
    <xf numFmtId="0" fontId="0" fillId="0" borderId="2" xfId="0" applyFill="1" applyBorder="1"/>
    <xf numFmtId="0" fontId="3" fillId="0" borderId="0" xfId="0" applyFont="1" applyFill="1" applyBorder="1"/>
    <xf numFmtId="0" fontId="6" fillId="2" borderId="0" xfId="0" applyFont="1" applyFill="1" applyBorder="1"/>
    <xf numFmtId="0" fontId="0" fillId="0" borderId="5" xfId="0" applyBorder="1"/>
    <xf numFmtId="0" fontId="0" fillId="2" borderId="5" xfId="0" applyFill="1" applyBorder="1"/>
    <xf numFmtId="0" fontId="7" fillId="0" borderId="0" xfId="0" applyFont="1" applyBorder="1"/>
    <xf numFmtId="0" fontId="10" fillId="0" borderId="0" xfId="0" applyFont="1" applyBorder="1"/>
    <xf numFmtId="0" fontId="8" fillId="0" borderId="0" xfId="0" applyFont="1" applyFill="1" applyBorder="1"/>
    <xf numFmtId="7" fontId="0" fillId="0" borderId="0" xfId="0" applyNumberFormat="1" applyFill="1"/>
    <xf numFmtId="0" fontId="0" fillId="0" borderId="0" xfId="0" applyFont="1" applyFill="1" applyBorder="1"/>
    <xf numFmtId="43" fontId="1" fillId="0" borderId="0" xfId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/>
    <xf numFmtId="0" fontId="14" fillId="0" borderId="0" xfId="0" applyFont="1" applyBorder="1"/>
    <xf numFmtId="0" fontId="15" fillId="0" borderId="0" xfId="0" applyFont="1" applyBorder="1"/>
    <xf numFmtId="0" fontId="13" fillId="7" borderId="0" xfId="0" applyFont="1" applyFill="1" applyBorder="1" applyAlignment="1">
      <alignment horizontal="center"/>
    </xf>
    <xf numFmtId="44" fontId="1" fillId="6" borderId="6" xfId="2" applyFill="1" applyBorder="1" applyAlignment="1" applyProtection="1">
      <protection locked="0"/>
    </xf>
    <xf numFmtId="165" fontId="1" fillId="6" borderId="6" xfId="1" applyNumberFormat="1" applyFill="1" applyBorder="1" applyAlignment="1" applyProtection="1">
      <alignment horizontal="right"/>
      <protection locked="0"/>
    </xf>
    <xf numFmtId="44" fontId="1" fillId="4" borderId="6" xfId="2" applyFill="1" applyBorder="1" applyAlignment="1" applyProtection="1">
      <alignment horizontal="left"/>
      <protection locked="0"/>
    </xf>
    <xf numFmtId="44" fontId="1" fillId="4" borderId="7" xfId="2" applyFill="1" applyBorder="1" applyAlignment="1" applyProtection="1">
      <alignment horizontal="left"/>
      <protection locked="0"/>
    </xf>
    <xf numFmtId="44" fontId="3" fillId="0" borderId="8" xfId="2" applyFont="1" applyFill="1" applyBorder="1" applyAlignment="1" applyProtection="1">
      <alignment horizontal="left"/>
      <protection locked="0"/>
    </xf>
    <xf numFmtId="44" fontId="1" fillId="3" borderId="6" xfId="2" applyFill="1" applyBorder="1" applyAlignment="1">
      <alignment horizontal="left"/>
    </xf>
    <xf numFmtId="44" fontId="1" fillId="0" borderId="0" xfId="2" applyFill="1" applyBorder="1" applyAlignment="1">
      <alignment horizontal="left"/>
    </xf>
    <xf numFmtId="0" fontId="1" fillId="2" borderId="0" xfId="0" applyFont="1" applyFill="1" applyBorder="1"/>
    <xf numFmtId="44" fontId="3" fillId="8" borderId="6" xfId="2" applyFont="1" applyFill="1" applyBorder="1" applyAlignment="1" applyProtection="1">
      <alignment horizontal="left"/>
      <protection locked="0"/>
    </xf>
    <xf numFmtId="0" fontId="0" fillId="0" borderId="0" xfId="0" applyFont="1" applyBorder="1"/>
    <xf numFmtId="44" fontId="1" fillId="9" borderId="6" xfId="0" applyNumberFormat="1" applyFont="1" applyFill="1" applyBorder="1" applyAlignment="1">
      <alignment horizontal="center"/>
    </xf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44" fontId="1" fillId="8" borderId="6" xfId="1" applyNumberFormat="1" applyFill="1" applyBorder="1"/>
    <xf numFmtId="44" fontId="1" fillId="8" borderId="6" xfId="2" applyFont="1" applyFill="1" applyBorder="1"/>
    <xf numFmtId="0" fontId="18" fillId="0" borderId="0" xfId="0" applyFont="1" applyFill="1" applyBorder="1"/>
    <xf numFmtId="0" fontId="18" fillId="0" borderId="0" xfId="0" applyFont="1" applyBorder="1"/>
    <xf numFmtId="10" fontId="3" fillId="8" borderId="12" xfId="2" applyNumberFormat="1" applyFont="1" applyFill="1" applyBorder="1" applyAlignment="1">
      <alignment horizontal="center"/>
    </xf>
    <xf numFmtId="43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11" fillId="0" borderId="0" xfId="0" applyFont="1" applyBorder="1"/>
    <xf numFmtId="0" fontId="0" fillId="0" borderId="8" xfId="0" applyBorder="1"/>
    <xf numFmtId="0" fontId="1" fillId="0" borderId="0" xfId="0" applyFont="1" applyBorder="1" applyAlignment="1">
      <alignment horizontal="right"/>
    </xf>
    <xf numFmtId="44" fontId="21" fillId="0" borderId="0" xfId="0" applyNumberFormat="1" applyFont="1" applyBorder="1"/>
    <xf numFmtId="44" fontId="0" fillId="0" borderId="0" xfId="2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6" fontId="1" fillId="6" borderId="6" xfId="4" applyNumberFormat="1" applyFill="1" applyBorder="1" applyAlignment="1" applyProtection="1">
      <alignment horizontal="right"/>
      <protection locked="0"/>
    </xf>
    <xf numFmtId="44" fontId="0" fillId="0" borderId="0" xfId="2" applyFont="1"/>
    <xf numFmtId="44" fontId="0" fillId="0" borderId="0" xfId="0" applyNumberFormat="1"/>
    <xf numFmtId="0" fontId="0" fillId="0" borderId="0" xfId="0" applyAlignment="1">
      <alignment horizontal="right"/>
    </xf>
    <xf numFmtId="44" fontId="1" fillId="8" borderId="7" xfId="1" applyNumberFormat="1" applyFont="1" applyFill="1" applyBorder="1"/>
    <xf numFmtId="0" fontId="11" fillId="0" borderId="0" xfId="0" applyFont="1" applyFill="1" applyBorder="1"/>
    <xf numFmtId="0" fontId="1" fillId="0" borderId="0" xfId="0" applyFont="1"/>
    <xf numFmtId="0" fontId="0" fillId="8" borderId="6" xfId="0" applyFill="1" applyBorder="1" applyAlignment="1">
      <alignment horizontal="center"/>
    </xf>
    <xf numFmtId="44" fontId="1" fillId="8" borderId="6" xfId="2" applyFill="1" applyBorder="1"/>
    <xf numFmtId="0" fontId="3" fillId="7" borderId="0" xfId="0" applyFont="1" applyFill="1" applyBorder="1" applyAlignment="1">
      <alignment horizontal="center"/>
    </xf>
    <xf numFmtId="43" fontId="1" fillId="7" borderId="0" xfId="1" applyFill="1" applyBorder="1" applyAlignment="1">
      <alignment horizontal="center"/>
    </xf>
    <xf numFmtId="43" fontId="3" fillId="8" borderId="12" xfId="1" applyFont="1" applyFill="1" applyBorder="1" applyAlignment="1">
      <alignment horizontal="center"/>
    </xf>
    <xf numFmtId="44" fontId="0" fillId="8" borderId="7" xfId="0" applyNumberForma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44" fontId="3" fillId="8" borderId="12" xfId="1" applyNumberFormat="1" applyFont="1" applyFill="1" applyBorder="1"/>
    <xf numFmtId="44" fontId="1" fillId="8" borderId="6" xfId="0" applyNumberFormat="1" applyFont="1" applyFill="1" applyBorder="1" applyAlignment="1">
      <alignment horizontal="left"/>
    </xf>
    <xf numFmtId="44" fontId="0" fillId="5" borderId="6" xfId="0" applyNumberFormat="1" applyFont="1" applyFill="1" applyBorder="1" applyAlignment="1">
      <alignment horizontal="left"/>
    </xf>
    <xf numFmtId="44" fontId="18" fillId="11" borderId="6" xfId="2" applyFont="1" applyFill="1" applyBorder="1" applyAlignment="1">
      <alignment horizontal="left"/>
    </xf>
    <xf numFmtId="166" fontId="18" fillId="11" borderId="6" xfId="4" applyNumberFormat="1" applyFont="1" applyFill="1" applyBorder="1"/>
    <xf numFmtId="165" fontId="18" fillId="11" borderId="6" xfId="1" applyNumberFormat="1" applyFont="1" applyFill="1" applyBorder="1"/>
    <xf numFmtId="0" fontId="0" fillId="7" borderId="0" xfId="0" applyFill="1"/>
    <xf numFmtId="44" fontId="0" fillId="0" borderId="0" xfId="0" applyNumberFormat="1" applyBorder="1"/>
    <xf numFmtId="0" fontId="0" fillId="7" borderId="3" xfId="0" applyFill="1" applyBorder="1"/>
    <xf numFmtId="0" fontId="0" fillId="7" borderId="0" xfId="0" applyFill="1" applyBorder="1"/>
    <xf numFmtId="0" fontId="0" fillId="7" borderId="2" xfId="0" applyFill="1" applyBorder="1"/>
    <xf numFmtId="0" fontId="3" fillId="7" borderId="0" xfId="0" applyFont="1" applyFill="1" applyBorder="1"/>
    <xf numFmtId="0" fontId="18" fillId="7" borderId="0" xfId="0" applyFont="1" applyFill="1" applyBorder="1"/>
    <xf numFmtId="0" fontId="1" fillId="7" borderId="0" xfId="0" applyFont="1" applyFill="1" applyBorder="1"/>
    <xf numFmtId="0" fontId="0" fillId="7" borderId="5" xfId="0" applyFill="1" applyBorder="1"/>
    <xf numFmtId="0" fontId="20" fillId="7" borderId="3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37" fontId="1" fillId="8" borderId="7" xfId="0" applyNumberFormat="1" applyFont="1" applyFill="1" applyBorder="1" applyAlignment="1">
      <alignment horizontal="right"/>
    </xf>
    <xf numFmtId="37" fontId="3" fillId="3" borderId="12" xfId="0" applyNumberFormat="1" applyFont="1" applyFill="1" applyBorder="1" applyAlignment="1">
      <alignment horizontal="center"/>
    </xf>
    <xf numFmtId="44" fontId="0" fillId="9" borderId="7" xfId="0" applyNumberFormat="1" applyFill="1" applyBorder="1"/>
    <xf numFmtId="44" fontId="1" fillId="8" borderId="12" xfId="1" applyNumberFormat="1" applyFill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8" fontId="0" fillId="0" borderId="0" xfId="0" applyNumberFormat="1" applyBorder="1"/>
    <xf numFmtId="44" fontId="1" fillId="8" borderId="6" xfId="2" applyFill="1" applyBorder="1" applyAlignment="1" applyProtection="1">
      <alignment horizontal="left"/>
    </xf>
    <xf numFmtId="0" fontId="3" fillId="0" borderId="5" xfId="0" applyFont="1" applyBorder="1"/>
    <xf numFmtId="0" fontId="22" fillId="6" borderId="6" xfId="0" applyFont="1" applyFill="1" applyBorder="1" applyAlignment="1" applyProtection="1">
      <alignment horizontal="right" vertical="center"/>
      <protection locked="0"/>
    </xf>
    <xf numFmtId="0" fontId="21" fillId="7" borderId="2" xfId="0" applyFont="1" applyFill="1" applyBorder="1"/>
    <xf numFmtId="44" fontId="22" fillId="6" borderId="6" xfId="2" applyNumberFormat="1" applyFont="1" applyFill="1" applyBorder="1" applyAlignment="1" applyProtection="1">
      <alignment horizontal="left" vertical="center"/>
      <protection locked="0"/>
    </xf>
    <xf numFmtId="44" fontId="0" fillId="6" borderId="6" xfId="2" applyFont="1" applyFill="1" applyBorder="1" applyAlignment="1" applyProtection="1">
      <alignment horizontal="right"/>
      <protection locked="0"/>
    </xf>
    <xf numFmtId="14" fontId="0" fillId="6" borderId="6" xfId="2" applyNumberFormat="1" applyFont="1" applyFill="1" applyBorder="1" applyAlignment="1" applyProtection="1">
      <alignment horizontal="right"/>
      <protection locked="0"/>
    </xf>
    <xf numFmtId="44" fontId="1" fillId="6" borderId="6" xfId="1" applyNumberFormat="1" applyFill="1" applyBorder="1" applyProtection="1">
      <protection locked="0"/>
    </xf>
    <xf numFmtId="14" fontId="0" fillId="0" borderId="0" xfId="0" applyNumberFormat="1" applyFill="1"/>
    <xf numFmtId="0" fontId="0" fillId="0" borderId="15" xfId="0" applyBorder="1"/>
    <xf numFmtId="0" fontId="0" fillId="0" borderId="1" xfId="0" applyFill="1" applyBorder="1"/>
    <xf numFmtId="0" fontId="16" fillId="0" borderId="8" xfId="0" applyFont="1" applyBorder="1" applyAlignment="1">
      <alignment horizontal="center"/>
    </xf>
    <xf numFmtId="8" fontId="0" fillId="0" borderId="0" xfId="0" applyNumberFormat="1" applyFill="1"/>
    <xf numFmtId="44" fontId="1" fillId="8" borderId="6" xfId="2" applyNumberFormat="1" applyFont="1" applyFill="1" applyBorder="1"/>
    <xf numFmtId="8" fontId="0" fillId="0" borderId="0" xfId="0" applyNumberFormat="1"/>
    <xf numFmtId="10" fontId="1" fillId="8" borderId="6" xfId="4" applyNumberFormat="1" applyFont="1" applyFill="1" applyBorder="1"/>
    <xf numFmtId="44" fontId="0" fillId="0" borderId="0" xfId="0" applyNumberFormat="1" applyFill="1"/>
    <xf numFmtId="0" fontId="11" fillId="0" borderId="0" xfId="0" applyFont="1" applyBorder="1" applyAlignment="1">
      <alignment horizontal="left"/>
    </xf>
    <xf numFmtId="10" fontId="1" fillId="4" borderId="6" xfId="4" applyNumberFormat="1" applyFont="1" applyFill="1" applyBorder="1" applyProtection="1">
      <protection locked="0"/>
    </xf>
    <xf numFmtId="10" fontId="1" fillId="9" borderId="6" xfId="4" applyNumberFormat="1" applyFont="1" applyFill="1" applyBorder="1" applyProtection="1">
      <protection locked="0"/>
    </xf>
    <xf numFmtId="166" fontId="3" fillId="3" borderId="6" xfId="0" applyNumberFormat="1" applyFont="1" applyFill="1" applyBorder="1"/>
    <xf numFmtId="44" fontId="3" fillId="7" borderId="0" xfId="1" applyNumberFormat="1" applyFont="1" applyFill="1" applyBorder="1"/>
    <xf numFmtId="0" fontId="25" fillId="0" borderId="0" xfId="0" applyFont="1" applyBorder="1"/>
    <xf numFmtId="0" fontId="8" fillId="0" borderId="0" xfId="0" applyFont="1" applyFill="1" applyBorder="1" applyAlignment="1">
      <alignment horizontal="right"/>
    </xf>
    <xf numFmtId="0" fontId="2" fillId="0" borderId="5" xfId="0" applyFont="1" applyBorder="1"/>
    <xf numFmtId="0" fontId="17" fillId="0" borderId="13" xfId="0" applyFont="1" applyFill="1" applyBorder="1" applyAlignment="1">
      <alignment horizontal="right"/>
    </xf>
    <xf numFmtId="0" fontId="17" fillId="0" borderId="4" xfId="0" applyFont="1" applyBorder="1"/>
    <xf numFmtId="44" fontId="1" fillId="4" borderId="7" xfId="2" applyFill="1" applyBorder="1" applyAlignment="1" applyProtection="1">
      <alignment horizontal="right"/>
      <protection locked="0"/>
    </xf>
    <xf numFmtId="166" fontId="21" fillId="7" borderId="0" xfId="4" applyNumberFormat="1" applyFont="1" applyFill="1" applyBorder="1" applyProtection="1">
      <protection locked="0"/>
    </xf>
    <xf numFmtId="44" fontId="1" fillId="6" borderId="14" xfId="2" applyFill="1" applyBorder="1" applyAlignment="1" applyProtection="1">
      <alignment horizontal="left"/>
      <protection locked="0"/>
    </xf>
    <xf numFmtId="44" fontId="21" fillId="7" borderId="5" xfId="2" applyFont="1" applyFill="1" applyBorder="1" applyProtection="1">
      <protection locked="0"/>
    </xf>
    <xf numFmtId="9" fontId="0" fillId="0" borderId="0" xfId="4" applyFont="1"/>
    <xf numFmtId="0" fontId="1" fillId="0" borderId="0" xfId="9" applyFill="1" applyBorder="1"/>
    <xf numFmtId="0" fontId="1" fillId="0" borderId="3" xfId="9" applyBorder="1"/>
    <xf numFmtId="0" fontId="3" fillId="0" borderId="0" xfId="9" applyFont="1" applyFill="1" applyBorder="1"/>
    <xf numFmtId="0" fontId="21" fillId="7" borderId="2" xfId="9" applyFont="1" applyFill="1" applyBorder="1"/>
    <xf numFmtId="0" fontId="1" fillId="0" borderId="0" xfId="10" applyFill="1" applyBorder="1"/>
    <xf numFmtId="0" fontId="3" fillId="0" borderId="0" xfId="10" applyFont="1" applyFill="1" applyBorder="1"/>
    <xf numFmtId="14" fontId="1" fillId="4" borderId="6" xfId="1" applyNumberFormat="1" applyFill="1" applyBorder="1" applyProtection="1">
      <protection locked="0"/>
    </xf>
    <xf numFmtId="1" fontId="1" fillId="3" borderId="6" xfId="1" applyNumberFormat="1" applyFill="1" applyBorder="1"/>
    <xf numFmtId="44" fontId="1" fillId="4" borderId="6" xfId="2" applyFill="1" applyBorder="1" applyAlignment="1" applyProtection="1">
      <protection locked="0"/>
    </xf>
    <xf numFmtId="0" fontId="1" fillId="0" borderId="0" xfId="10" applyFont="1" applyFill="1" applyBorder="1"/>
    <xf numFmtId="44" fontId="1" fillId="3" borderId="6" xfId="2" applyFill="1" applyBorder="1" applyAlignment="1"/>
    <xf numFmtId="0" fontId="1" fillId="6" borderId="6" xfId="10" applyFill="1" applyBorder="1" applyAlignment="1" applyProtection="1">
      <alignment horizontal="right"/>
      <protection locked="0"/>
    </xf>
    <xf numFmtId="14" fontId="1" fillId="3" borderId="14" xfId="1" applyNumberFormat="1" applyFill="1" applyBorder="1"/>
    <xf numFmtId="0" fontId="1" fillId="0" borderId="0" xfId="10" applyBorder="1"/>
    <xf numFmtId="44" fontId="0" fillId="6" borderId="6" xfId="2" applyFont="1" applyFill="1" applyBorder="1" applyAlignment="1" applyProtection="1">
      <alignment horizontal="left"/>
      <protection locked="0"/>
    </xf>
    <xf numFmtId="44" fontId="0" fillId="11" borderId="12" xfId="2" applyFont="1" applyFill="1" applyBorder="1" applyAlignment="1" applyProtection="1">
      <alignment horizontal="right"/>
    </xf>
    <xf numFmtId="8" fontId="0" fillId="0" borderId="0" xfId="2" applyNumberFormat="1" applyFont="1"/>
    <xf numFmtId="44" fontId="21" fillId="7" borderId="0" xfId="2" applyFont="1" applyFill="1" applyBorder="1" applyAlignment="1" applyProtection="1">
      <protection locked="0"/>
    </xf>
    <xf numFmtId="10" fontId="0" fillId="0" borderId="0" xfId="4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right"/>
    </xf>
    <xf numFmtId="9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44" fontId="1" fillId="6" borderId="6" xfId="2" applyFont="1" applyFill="1" applyBorder="1" applyProtection="1">
      <protection locked="0"/>
    </xf>
    <xf numFmtId="44" fontId="0" fillId="11" borderId="12" xfId="0" applyNumberFormat="1" applyFill="1" applyBorder="1"/>
    <xf numFmtId="0" fontId="3" fillId="3" borderId="16" xfId="0" applyFont="1" applyFill="1" applyBorder="1" applyAlignment="1">
      <alignment horizontal="center"/>
    </xf>
    <xf numFmtId="10" fontId="1" fillId="9" borderId="6" xfId="4" applyNumberFormat="1" applyFont="1" applyFill="1" applyBorder="1" applyAlignment="1">
      <alignment horizontal="right"/>
    </xf>
    <xf numFmtId="44" fontId="1" fillId="0" borderId="0" xfId="0" applyNumberFormat="1" applyFont="1"/>
    <xf numFmtId="0" fontId="2" fillId="0" borderId="0" xfId="0" applyFont="1" applyBorder="1"/>
    <xf numFmtId="0" fontId="14" fillId="0" borderId="2" xfId="0" applyFont="1" applyBorder="1"/>
    <xf numFmtId="44" fontId="0" fillId="6" borderId="6" xfId="2" applyFont="1" applyFill="1" applyBorder="1" applyProtection="1">
      <protection locked="0"/>
    </xf>
    <xf numFmtId="0" fontId="26" fillId="7" borderId="0" xfId="3" applyFont="1" applyFill="1" applyBorder="1" applyAlignment="1" applyProtection="1">
      <alignment horizontal="center" wrapText="1"/>
    </xf>
    <xf numFmtId="0" fontId="26" fillId="7" borderId="2" xfId="3" applyFont="1" applyFill="1" applyBorder="1" applyAlignment="1" applyProtection="1">
      <alignment horizontal="center" wrapText="1"/>
    </xf>
    <xf numFmtId="0" fontId="20" fillId="1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10" applyFont="1" applyBorder="1"/>
    <xf numFmtId="0" fontId="1" fillId="0" borderId="0" xfId="10" applyFont="1" applyBorder="1" applyAlignment="1"/>
    <xf numFmtId="9" fontId="1" fillId="0" borderId="0" xfId="10" applyNumberFormat="1" applyBorder="1"/>
    <xf numFmtId="0" fontId="20" fillId="10" borderId="9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" fillId="0" borderId="0" xfId="3" applyBorder="1" applyAlignment="1" applyProtection="1">
      <alignment horizontal="left"/>
    </xf>
    <xf numFmtId="0" fontId="26" fillId="0" borderId="0" xfId="3" applyFont="1" applyBorder="1" applyAlignment="1" applyProtection="1">
      <alignment horizontal="left"/>
    </xf>
    <xf numFmtId="0" fontId="26" fillId="0" borderId="2" xfId="3" applyFont="1" applyBorder="1" applyAlignment="1" applyProtection="1">
      <alignment horizontal="left"/>
    </xf>
    <xf numFmtId="0" fontId="11" fillId="0" borderId="0" xfId="1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6" fillId="7" borderId="0" xfId="3" applyFont="1" applyFill="1" applyBorder="1" applyAlignment="1" applyProtection="1">
      <alignment horizontal="center" wrapText="1"/>
    </xf>
    <xf numFmtId="0" fontId="26" fillId="7" borderId="2" xfId="3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/>
    </xf>
  </cellXfs>
  <cellStyles count="11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3" builtinId="8"/>
    <cellStyle name="Normal" xfId="0" builtinId="0"/>
    <cellStyle name="Normal 2" xfId="10" xr:uid="{00000000-0005-0000-0000-000008000000}"/>
    <cellStyle name="Normal 3" xfId="9" xr:uid="{00000000-0005-0000-0000-000009000000}"/>
    <cellStyle name="Percent" xfId="4" builtinId="5"/>
  </cellStyles>
  <dxfs count="3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/>
        <color theme="5"/>
      </font>
    </dxf>
    <dxf>
      <font>
        <b/>
        <i val="0"/>
        <u val="none"/>
        <color theme="5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ont>
        <b/>
        <i val="0"/>
        <color theme="5"/>
      </font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CC99FF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rebella/My%20Documents/Downloads/Waterfall%20Worksheet%20-%20HAMP%20&amp;%20GSE%20Standard%20Modific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ph/Client%20Files/Open%20Cases/Carter,%20Rhoda/Carter%20Waterf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MP Tier 1"/>
      <sheetName val="Tier 2 - Standard"/>
      <sheetName val="Mod Terms"/>
      <sheetName val="Data Validation"/>
    </sheetNames>
    <sheetDataSet>
      <sheetData sheetId="0">
        <row r="11">
          <cell r="E11">
            <v>2147.2864920485526</v>
          </cell>
        </row>
        <row r="22">
          <cell r="E22">
            <v>335000</v>
          </cell>
        </row>
      </sheetData>
      <sheetData sheetId="1">
        <row r="28">
          <cell r="P28">
            <v>2035.1526122394237</v>
          </cell>
        </row>
      </sheetData>
      <sheetData sheetId="2" refreshError="1"/>
      <sheetData sheetId="3">
        <row r="2">
          <cell r="D2" t="str">
            <v>Bank of America</v>
          </cell>
          <cell r="I2">
            <v>1</v>
          </cell>
          <cell r="J2" t="str">
            <v>Current as of FNMA Servicing Announcement 2013-28</v>
          </cell>
        </row>
        <row r="3">
          <cell r="I3">
            <v>2</v>
          </cell>
          <cell r="J3" t="str">
            <v>Current as of FDMC Servicing Bulletin 2013-27</v>
          </cell>
        </row>
        <row r="4">
          <cell r="I4">
            <v>3</v>
          </cell>
          <cell r="J4" t="str">
            <v>Current as of MHA Handbook v. 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AMP Tier 1"/>
      <sheetName val="Tier 2 - Standard"/>
      <sheetName val="Mod Terms"/>
      <sheetName val="Data Validation"/>
    </sheetNames>
    <sheetDataSet>
      <sheetData sheetId="0"/>
      <sheetData sheetId="1">
        <row r="11">
          <cell r="E11">
            <v>2313.7617444510815</v>
          </cell>
        </row>
      </sheetData>
      <sheetData sheetId="2">
        <row r="28">
          <cell r="P28">
            <v>2761.677564258126</v>
          </cell>
        </row>
        <row r="30">
          <cell r="L30">
            <v>0.25</v>
          </cell>
          <cell r="N30">
            <v>0.42</v>
          </cell>
        </row>
        <row r="32">
          <cell r="P32">
            <v>0.65413299831547633</v>
          </cell>
        </row>
        <row r="39">
          <cell r="P39" t="str">
            <v>NO</v>
          </cell>
        </row>
      </sheetData>
      <sheetData sheetId="3"/>
      <sheetData sheetId="4">
        <row r="2">
          <cell r="D2" t="str">
            <v>Bank of America</v>
          </cell>
          <cell r="E2">
            <v>0.25</v>
          </cell>
          <cell r="F2">
            <v>0.42</v>
          </cell>
        </row>
        <row r="3">
          <cell r="D3" t="str">
            <v>Bank United</v>
          </cell>
          <cell r="E3">
            <v>0.1</v>
          </cell>
          <cell r="F3">
            <v>0.55000000000000004</v>
          </cell>
        </row>
        <row r="4">
          <cell r="B4">
            <v>0</v>
          </cell>
          <cell r="D4" t="str">
            <v>Bayview</v>
          </cell>
          <cell r="E4">
            <v>0.1</v>
          </cell>
          <cell r="F4">
            <v>0.55000000000000004</v>
          </cell>
        </row>
        <row r="5">
          <cell r="B5">
            <v>4.6249999999999999E-2</v>
          </cell>
          <cell r="D5" t="str">
            <v>Carrington</v>
          </cell>
          <cell r="E5">
            <v>0.25</v>
          </cell>
          <cell r="F5">
            <v>0.42</v>
          </cell>
        </row>
        <row r="6">
          <cell r="A6">
            <v>0</v>
          </cell>
          <cell r="D6" t="str">
            <v>Chase</v>
          </cell>
          <cell r="E6">
            <v>0.25</v>
          </cell>
          <cell r="F6">
            <v>0.42</v>
          </cell>
        </row>
        <row r="7">
          <cell r="D7" t="str">
            <v>Citi</v>
          </cell>
          <cell r="E7">
            <v>0.1</v>
          </cell>
          <cell r="F7">
            <v>0.42</v>
          </cell>
        </row>
        <row r="8">
          <cell r="D8" t="str">
            <v>GMAC</v>
          </cell>
          <cell r="E8">
            <v>0.1</v>
          </cell>
          <cell r="F8">
            <v>0.55000000000000004</v>
          </cell>
        </row>
        <row r="9">
          <cell r="D9" t="str">
            <v>Green Tree</v>
          </cell>
          <cell r="E9">
            <v>0.1</v>
          </cell>
          <cell r="F9">
            <v>0.55000000000000004</v>
          </cell>
        </row>
        <row r="10">
          <cell r="A10">
            <v>3</v>
          </cell>
          <cell r="D10" t="str">
            <v>Midland</v>
          </cell>
          <cell r="E10">
            <v>0.1</v>
          </cell>
          <cell r="F10">
            <v>0.55000000000000004</v>
          </cell>
        </row>
        <row r="11">
          <cell r="D11" t="str">
            <v>Nationstar</v>
          </cell>
          <cell r="E11">
            <v>0.1</v>
          </cell>
          <cell r="F11">
            <v>0.55000000000000004</v>
          </cell>
        </row>
        <row r="12">
          <cell r="A12">
            <v>0</v>
          </cell>
          <cell r="D12" t="str">
            <v>Ocwen</v>
          </cell>
          <cell r="E12">
            <v>0.15</v>
          </cell>
          <cell r="F12">
            <v>0.45</v>
          </cell>
        </row>
        <row r="13">
          <cell r="A13">
            <v>0</v>
          </cell>
          <cell r="D13" t="str">
            <v>OneWest</v>
          </cell>
          <cell r="E13">
            <v>0.1</v>
          </cell>
          <cell r="F13">
            <v>0.55000000000000004</v>
          </cell>
        </row>
        <row r="14">
          <cell r="A14">
            <v>0</v>
          </cell>
          <cell r="D14" t="str">
            <v>Penny Mac</v>
          </cell>
          <cell r="E14">
            <v>0.1</v>
          </cell>
          <cell r="F14">
            <v>0.42</v>
          </cell>
        </row>
        <row r="15">
          <cell r="D15" t="str">
            <v>PNC/National City</v>
          </cell>
          <cell r="E15">
            <v>0.1</v>
          </cell>
          <cell r="F15">
            <v>0.55000000000000004</v>
          </cell>
        </row>
        <row r="16">
          <cell r="D16" t="str">
            <v>SLS</v>
          </cell>
          <cell r="E16">
            <v>0.1</v>
          </cell>
          <cell r="F16">
            <v>0.55000000000000004</v>
          </cell>
        </row>
        <row r="17">
          <cell r="D17" t="str">
            <v>SPS</v>
          </cell>
          <cell r="E17">
            <v>0.1</v>
          </cell>
          <cell r="F17">
            <v>0.55000000000000004</v>
          </cell>
        </row>
        <row r="18">
          <cell r="D18" t="str">
            <v>US Bank</v>
          </cell>
          <cell r="E18">
            <v>0.1</v>
          </cell>
          <cell r="F18">
            <v>0.55000000000000004</v>
          </cell>
        </row>
        <row r="19">
          <cell r="D19" t="str">
            <v>Wells Fargo/ASC</v>
          </cell>
          <cell r="E19">
            <v>0.25</v>
          </cell>
          <cell r="F19">
            <v>0.42</v>
          </cell>
        </row>
        <row r="20">
          <cell r="D20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rebella@mfy.org?subject=FHA%20Waterfall%20Workshe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FF"/>
    <pageSetUpPr autoPageBreaks="0"/>
  </sheetPr>
  <dimension ref="A1:Z57"/>
  <sheetViews>
    <sheetView showGridLines="0" tabSelected="1" zoomScaleNormal="100" workbookViewId="0">
      <selection activeCell="E41" sqref="E41"/>
    </sheetView>
  </sheetViews>
  <sheetFormatPr defaultColWidth="4.7265625" defaultRowHeight="12.5"/>
  <cols>
    <col min="1" max="2" width="3.81640625" customWidth="1"/>
    <col min="3" max="3" width="7" customWidth="1"/>
    <col min="4" max="4" width="21.81640625" customWidth="1"/>
    <col min="5" max="5" width="15.81640625" customWidth="1"/>
    <col min="6" max="6" width="3.54296875" customWidth="1"/>
    <col min="7" max="7" width="15.26953125" customWidth="1"/>
    <col min="8" max="8" width="5.26953125" customWidth="1"/>
    <col min="9" max="9" width="4.54296875" customWidth="1"/>
    <col min="10" max="10" width="8.1796875" customWidth="1"/>
    <col min="11" max="11" width="9.453125" customWidth="1"/>
    <col min="12" max="12" width="27.54296875" customWidth="1"/>
    <col min="13" max="13" width="22.1796875" customWidth="1"/>
    <col min="14" max="14" width="6.453125" customWidth="1"/>
    <col min="15" max="15" width="3" style="3" customWidth="1"/>
    <col min="16" max="16" width="9.1796875" customWidth="1"/>
    <col min="18" max="18" width="9.1796875" bestFit="1" customWidth="1"/>
  </cols>
  <sheetData>
    <row r="1" spans="1:26" ht="12.75" customHeight="1">
      <c r="A1" s="171" t="s">
        <v>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9.75" customHeight="1">
      <c r="A2" s="108"/>
      <c r="B2" s="52"/>
      <c r="C2" s="52"/>
      <c r="D2" s="52"/>
      <c r="E2" s="52"/>
      <c r="F2" s="52"/>
      <c r="G2" s="109"/>
      <c r="H2" s="7"/>
      <c r="I2" s="108"/>
      <c r="J2" s="52"/>
      <c r="K2" s="110"/>
      <c r="L2" s="110"/>
      <c r="M2" s="110"/>
      <c r="N2" s="52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181" t="s">
        <v>10</v>
      </c>
      <c r="B3" s="182"/>
      <c r="C3" s="182"/>
      <c r="D3" s="182"/>
      <c r="E3" s="182"/>
      <c r="F3" s="182"/>
      <c r="G3" s="182"/>
      <c r="H3" s="7"/>
      <c r="I3" s="174" t="s">
        <v>5</v>
      </c>
      <c r="J3" s="175"/>
      <c r="K3" s="175"/>
      <c r="L3" s="175"/>
      <c r="M3" s="175"/>
      <c r="N3" s="175"/>
      <c r="O3" s="17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">
      <c r="A4" s="96"/>
      <c r="B4" s="97"/>
      <c r="C4" s="97"/>
      <c r="D4" s="97"/>
      <c r="E4" s="97"/>
      <c r="F4" s="97"/>
      <c r="G4" s="97"/>
      <c r="H4" s="7"/>
      <c r="I4" s="108"/>
      <c r="J4" s="12"/>
      <c r="K4" s="1"/>
      <c r="L4" s="1"/>
      <c r="M4" s="29"/>
      <c r="N4" s="19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"/>
      <c r="B5" s="25" t="s">
        <v>37</v>
      </c>
      <c r="C5" s="1"/>
      <c r="D5" s="1"/>
      <c r="E5" s="104" t="s">
        <v>105</v>
      </c>
      <c r="F5" s="1"/>
      <c r="G5" s="1"/>
      <c r="H5" s="7"/>
      <c r="I5" s="10"/>
      <c r="J5" s="51" t="s">
        <v>8</v>
      </c>
      <c r="K5" s="12"/>
      <c r="L5" s="1"/>
      <c r="M5" s="1"/>
      <c r="N5" s="19"/>
      <c r="O5" s="14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">
      <c r="A6" s="10"/>
      <c r="B6" s="25" t="str">
        <f>IF(E5="ytd","Enter Date of YTD","")</f>
        <v/>
      </c>
      <c r="C6" s="1"/>
      <c r="D6" s="1"/>
      <c r="E6" s="105">
        <v>42145</v>
      </c>
      <c r="F6" s="1"/>
      <c r="G6" s="1"/>
      <c r="H6" s="7"/>
      <c r="I6" s="10"/>
      <c r="J6" s="25" t="s">
        <v>41</v>
      </c>
      <c r="K6" s="1"/>
      <c r="L6" s="1"/>
      <c r="M6" s="101" t="s">
        <v>89</v>
      </c>
      <c r="N6" s="19"/>
      <c r="O6" s="102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">
      <c r="A7" s="10"/>
      <c r="B7" s="1" t="s">
        <v>0</v>
      </c>
      <c r="C7" s="1"/>
      <c r="D7" s="1"/>
      <c r="E7" s="33">
        <v>3000</v>
      </c>
      <c r="F7" s="1"/>
      <c r="G7" s="1"/>
      <c r="H7" s="7"/>
      <c r="I7" s="10"/>
      <c r="J7" s="25" t="str">
        <f>IF(M6="ARM","Current Monthly P&amp;I Payment","")</f>
        <v/>
      </c>
      <c r="K7" s="1"/>
      <c r="L7" s="1"/>
      <c r="M7" s="103">
        <v>2147.69</v>
      </c>
      <c r="N7" s="19"/>
      <c r="O7" s="102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">
      <c r="A8" s="10"/>
      <c r="B8" s="25" t="s">
        <v>38</v>
      </c>
      <c r="C8" s="1"/>
      <c r="D8" s="1"/>
      <c r="E8" s="99">
        <f>IF(E5="weekly",E7*52/12,IF(E5="biweekly",E7*26/12,IF(E5="bimonthly",E7*2,IF(E5="annual",E7/12,IF(E5="ytd",E7/DAYS360(DATE(YEAR(E6),1,1),E6)*30,IF(E5="monthly",E7,0))))))</f>
        <v>3000</v>
      </c>
      <c r="F8" s="1"/>
      <c r="G8" s="1"/>
      <c r="H8" s="7"/>
      <c r="I8" s="10"/>
      <c r="J8" s="25" t="s">
        <v>9</v>
      </c>
      <c r="K8" s="1"/>
      <c r="L8" s="1"/>
      <c r="M8" s="30">
        <v>95000</v>
      </c>
      <c r="N8" s="19"/>
      <c r="O8" s="14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">
      <c r="A9" s="10"/>
      <c r="B9" s="5" t="s">
        <v>3</v>
      </c>
      <c r="C9" s="1"/>
      <c r="D9" s="1"/>
      <c r="E9" s="32"/>
      <c r="F9" s="1"/>
      <c r="G9" s="1"/>
      <c r="H9" s="7"/>
      <c r="I9" s="10"/>
      <c r="J9" s="25" t="s">
        <v>43</v>
      </c>
      <c r="K9" s="1"/>
      <c r="L9" s="1"/>
      <c r="M9" s="31">
        <v>360</v>
      </c>
      <c r="N9" s="19"/>
      <c r="O9" s="14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">
      <c r="A10" s="10"/>
      <c r="B10" s="5" t="s">
        <v>40</v>
      </c>
      <c r="C10" s="1"/>
      <c r="D10" s="1"/>
      <c r="E10" s="55"/>
      <c r="F10" s="1"/>
      <c r="G10" s="1"/>
      <c r="H10" s="7"/>
      <c r="I10" s="10"/>
      <c r="J10" s="25" t="s">
        <v>52</v>
      </c>
      <c r="K10" s="1"/>
      <c r="L10" s="1"/>
      <c r="M10" s="57">
        <v>5.2499999999999998E-2</v>
      </c>
      <c r="N10" s="19"/>
      <c r="O10" s="1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0"/>
      <c r="B11" s="1"/>
      <c r="C11" s="167" t="s">
        <v>6</v>
      </c>
      <c r="D11" s="95"/>
      <c r="E11" s="32">
        <v>0</v>
      </c>
      <c r="F11" s="1"/>
      <c r="G11" s="1"/>
      <c r="H11" s="7"/>
      <c r="I11" s="10"/>
      <c r="J11" s="25" t="s">
        <v>12</v>
      </c>
      <c r="K11" s="1"/>
      <c r="L11" s="1"/>
      <c r="M11" s="137">
        <v>42522</v>
      </c>
      <c r="N11" s="1"/>
      <c r="O11" s="1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0"/>
      <c r="B12" s="1"/>
      <c r="C12" s="1"/>
      <c r="D12" s="53" t="str">
        <f>IF(E11&gt;0,"Grossed up","")</f>
        <v/>
      </c>
      <c r="E12" s="35">
        <f>E11*1.25</f>
        <v>0</v>
      </c>
      <c r="F12" s="1"/>
      <c r="G12" s="1"/>
      <c r="H12" s="7"/>
      <c r="I12" s="10"/>
      <c r="J12" s="25" t="s">
        <v>54</v>
      </c>
      <c r="K12" s="1"/>
      <c r="L12" s="1"/>
      <c r="M12" s="32">
        <v>247.8</v>
      </c>
      <c r="N12" s="5"/>
      <c r="O12" s="1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">
      <c r="A13" s="10"/>
      <c r="B13" s="1" t="s">
        <v>1</v>
      </c>
      <c r="C13" s="2"/>
      <c r="D13" s="2"/>
      <c r="E13" s="34"/>
      <c r="F13" s="1"/>
      <c r="G13" s="1"/>
      <c r="H13" s="7"/>
      <c r="I13" s="10"/>
      <c r="J13" s="25" t="s">
        <v>55</v>
      </c>
      <c r="K13" s="1"/>
      <c r="L13" s="1"/>
      <c r="M13" s="32"/>
      <c r="N13" s="5"/>
      <c r="O13" s="1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0"/>
      <c r="B14" s="1"/>
      <c r="C14" s="167" t="s">
        <v>7</v>
      </c>
      <c r="D14" s="95"/>
      <c r="E14" s="32"/>
      <c r="F14" s="25"/>
      <c r="G14" s="1"/>
      <c r="H14" s="7"/>
      <c r="I14" s="10"/>
      <c r="J14" s="25" t="s">
        <v>56</v>
      </c>
      <c r="K14" s="1"/>
      <c r="L14" s="1"/>
      <c r="M14" s="33">
        <v>0</v>
      </c>
      <c r="N14" s="5"/>
      <c r="O14" s="1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0"/>
      <c r="B15" s="1"/>
      <c r="C15" s="1"/>
      <c r="D15" s="1"/>
      <c r="E15" s="36"/>
      <c r="F15" s="25"/>
      <c r="G15" s="1"/>
      <c r="H15" s="7"/>
      <c r="I15" s="10"/>
      <c r="J15" s="26" t="s">
        <v>51</v>
      </c>
      <c r="K15" s="1"/>
      <c r="L15" s="1"/>
      <c r="M15" s="126" t="s">
        <v>106</v>
      </c>
      <c r="N15" s="5"/>
      <c r="O15" s="1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0"/>
      <c r="B16" s="1" t="s">
        <v>2</v>
      </c>
      <c r="C16" s="25"/>
      <c r="D16" s="1"/>
      <c r="E16" s="32"/>
      <c r="F16" s="1"/>
      <c r="G16" s="1"/>
      <c r="H16" s="7"/>
      <c r="I16" s="10"/>
      <c r="J16" s="26" t="str">
        <f>IF(M15="No","Upfront MIP Financed?","")</f>
        <v>Upfront MIP Financed?</v>
      </c>
      <c r="K16" s="1"/>
      <c r="L16" s="1"/>
      <c r="M16" s="126" t="s">
        <v>26</v>
      </c>
      <c r="N16" s="5"/>
      <c r="O16" s="1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">
      <c r="A17" s="10"/>
      <c r="B17" s="1"/>
      <c r="C17" s="1"/>
      <c r="D17" s="53" t="str">
        <f>IF(E16&gt;0,"Reduced by 25%","")</f>
        <v/>
      </c>
      <c r="E17" s="35">
        <f>E16*0.75</f>
        <v>0</v>
      </c>
      <c r="F17" s="1"/>
      <c r="G17" s="1"/>
      <c r="H17" s="7"/>
      <c r="I17" s="10"/>
      <c r="J17" s="25" t="str">
        <f>IF(M15="No","Original Value","")</f>
        <v>Original Value</v>
      </c>
      <c r="K17" s="1"/>
      <c r="L17" s="1"/>
      <c r="M17" s="148">
        <v>100000</v>
      </c>
      <c r="N17" s="19"/>
      <c r="O17" s="1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0"/>
      <c r="B18" s="1"/>
      <c r="C18" s="1"/>
      <c r="D18" s="1"/>
      <c r="E18" s="25"/>
      <c r="F18" s="1"/>
      <c r="G18" s="1"/>
      <c r="H18" s="7"/>
      <c r="I18" s="10"/>
      <c r="J18" s="1" t="str">
        <f>IF(AND(M6="ARM",M15="No"),"Original Interest Rate","")</f>
        <v/>
      </c>
      <c r="K18" s="1"/>
      <c r="L18" s="1"/>
      <c r="M18" s="127">
        <v>0.04</v>
      </c>
      <c r="N18" s="5"/>
      <c r="O18" s="1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0"/>
      <c r="B19" s="25" t="s">
        <v>36</v>
      </c>
      <c r="C19" s="1"/>
      <c r="D19" s="1"/>
      <c r="E19" s="35">
        <f>SUM(E8,E9,E14,E17,E12)</f>
        <v>3000</v>
      </c>
      <c r="F19" s="13"/>
      <c r="G19" s="1"/>
      <c r="H19" s="7"/>
      <c r="I19" s="10"/>
      <c r="J19" s="23" t="str">
        <f>IF(M15="No","Estimated MIP","")</f>
        <v>Estimated MIP</v>
      </c>
      <c r="K19" s="1"/>
      <c r="L19" s="1"/>
      <c r="M19" s="129">
        <f ca="1">MIP</f>
        <v>0</v>
      </c>
      <c r="N19" s="5"/>
      <c r="O19" s="1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0"/>
      <c r="B20" s="1"/>
      <c r="C20" s="1"/>
      <c r="D20" s="1"/>
      <c r="E20" s="1"/>
      <c r="F20" s="1"/>
      <c r="G20" s="1"/>
      <c r="H20" s="7"/>
      <c r="I20" s="10"/>
      <c r="J20" s="25" t="str">
        <f>IF(M15="Yes","MIP","")</f>
        <v/>
      </c>
      <c r="K20" s="1"/>
      <c r="L20" s="1"/>
      <c r="M20" s="128"/>
      <c r="N20" s="5"/>
      <c r="O20" s="1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">
      <c r="A21" s="10"/>
      <c r="B21" s="1"/>
      <c r="C21" s="1"/>
      <c r="D21" s="1"/>
      <c r="E21" s="1"/>
      <c r="F21" s="1"/>
      <c r="G21" s="1"/>
      <c r="H21" s="7"/>
      <c r="I21" s="10"/>
      <c r="J21" s="25" t="s">
        <v>21</v>
      </c>
      <c r="K21" s="1"/>
      <c r="L21" s="1"/>
      <c r="M21" s="38">
        <f>IF(M6="ARM",M7,-PMT(rate/12,M9,M8))</f>
        <v>524.59351703480343</v>
      </c>
      <c r="N21" s="54">
        <f ca="1">M22-M21</f>
        <v>247.79999999999995</v>
      </c>
      <c r="O21" s="1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">
      <c r="A22" s="181" t="s">
        <v>39</v>
      </c>
      <c r="B22" s="182"/>
      <c r="C22" s="182"/>
      <c r="D22" s="182"/>
      <c r="E22" s="182"/>
      <c r="F22" s="182"/>
      <c r="G22" s="182"/>
      <c r="H22" s="7"/>
      <c r="I22" s="10"/>
      <c r="J22" s="25" t="s">
        <v>4</v>
      </c>
      <c r="K22" s="1"/>
      <c r="L22" s="1"/>
      <c r="M22" s="38">
        <f ca="1">SUM(M21,M12:M14,IF(M15="Yes",M20,M19))</f>
        <v>772.39351703480338</v>
      </c>
      <c r="N22" s="15"/>
      <c r="O22" s="1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">
      <c r="A23" s="10"/>
      <c r="B23" s="1"/>
      <c r="C23" s="1"/>
      <c r="D23" s="1"/>
      <c r="E23" s="1"/>
      <c r="F23" s="1"/>
      <c r="G23" s="1"/>
      <c r="H23" s="7"/>
      <c r="I23" s="10"/>
      <c r="J23" s="1"/>
      <c r="K23" s="1"/>
      <c r="L23" s="1"/>
      <c r="M23" s="56"/>
      <c r="N23" s="15"/>
      <c r="O23" s="1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">
      <c r="A24" s="10"/>
      <c r="B24" s="25" t="s">
        <v>37</v>
      </c>
      <c r="C24" s="1"/>
      <c r="D24" s="1"/>
      <c r="E24" s="104" t="s">
        <v>101</v>
      </c>
      <c r="F24" s="1"/>
      <c r="G24" s="1"/>
      <c r="H24" s="7"/>
      <c r="I24" s="132"/>
      <c r="J24" s="180" t="s">
        <v>59</v>
      </c>
      <c r="K24" s="180"/>
      <c r="L24" s="180"/>
      <c r="M24" s="180"/>
      <c r="N24" s="133"/>
      <c r="O24" s="134"/>
      <c r="P24" s="3"/>
      <c r="Q24" s="107"/>
      <c r="R24" s="107"/>
      <c r="S24" s="3"/>
      <c r="T24" s="3"/>
      <c r="U24" s="3"/>
      <c r="V24" s="3"/>
      <c r="W24" s="3"/>
      <c r="X24" s="3"/>
      <c r="Y24" s="3"/>
      <c r="Z24" s="3"/>
    </row>
    <row r="25" spans="1:26" ht="13">
      <c r="A25" s="10"/>
      <c r="B25" s="25" t="str">
        <f>IF(E24="ytd","Enter Date of YTD","")</f>
        <v/>
      </c>
      <c r="C25" s="1"/>
      <c r="D25" s="1"/>
      <c r="E25" s="105">
        <v>41258</v>
      </c>
      <c r="F25" s="1"/>
      <c r="G25" s="1"/>
      <c r="H25" s="7"/>
      <c r="I25" s="132"/>
      <c r="J25" s="168" t="s">
        <v>57</v>
      </c>
      <c r="K25" s="144"/>
      <c r="L25" s="144"/>
      <c r="M25" s="142" t="s">
        <v>102</v>
      </c>
      <c r="N25" s="133"/>
      <c r="O25" s="13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">
      <c r="A26" s="10"/>
      <c r="B26" s="1" t="s">
        <v>0</v>
      </c>
      <c r="C26" s="1"/>
      <c r="D26" s="1"/>
      <c r="E26" s="33"/>
      <c r="F26" s="1"/>
      <c r="G26" s="1"/>
      <c r="H26" s="7"/>
      <c r="I26" s="132"/>
      <c r="J26" s="169" t="str">
        <f>IF(infotype=1,IF(M15="Other","Cannot Calculate Using Default Date Only","Estimate Arrears and UPB at Default:"),"Enter UPB at Default:")</f>
        <v>Enter UPB at Default:</v>
      </c>
      <c r="K26" s="144"/>
      <c r="L26" s="144"/>
      <c r="M26" s="145">
        <v>92149.73</v>
      </c>
      <c r="N26" s="133"/>
      <c r="O26" s="13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">
      <c r="A27" s="10"/>
      <c r="B27" s="25" t="s">
        <v>38</v>
      </c>
      <c r="C27" s="1"/>
      <c r="D27" s="1"/>
      <c r="E27" s="99">
        <f>IF(E24="weekly",E26*52/12,IF(E24="biweekly",E26*26/12,IF(E24="bimonthly",E26*2,IF(E24="annual",E26/12,IF(E24="ytd",E26/DAYS360(DATE(YEAR(E25),1,1),E25)*30,IF(E24="monthly",E26,0))))))</f>
        <v>0</v>
      </c>
      <c r="F27" s="1"/>
      <c r="G27" s="1"/>
      <c r="H27" s="7"/>
      <c r="I27" s="132"/>
      <c r="J27" s="169" t="str">
        <f>IF(infotype=2,"Estimate Arrears:",IF(infotype=3,"Enter Amount of Arrears:",""))</f>
        <v>Estimate Arrears:</v>
      </c>
      <c r="K27" s="144"/>
      <c r="L27" s="144"/>
      <c r="M27" s="145">
        <v>100000</v>
      </c>
      <c r="N27" s="133"/>
      <c r="O27" s="13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">
      <c r="A28" s="10"/>
      <c r="B28" s="1" t="s">
        <v>1</v>
      </c>
      <c r="C28" s="2"/>
      <c r="D28" s="2"/>
      <c r="E28" s="34"/>
      <c r="F28" s="1"/>
      <c r="G28" s="1"/>
      <c r="H28" s="7"/>
      <c r="I28" s="132"/>
      <c r="J28" s="168" t="s">
        <v>93</v>
      </c>
      <c r="K28" s="144"/>
      <c r="L28" s="144"/>
      <c r="M28" s="137">
        <v>44228</v>
      </c>
      <c r="N28" s="131"/>
      <c r="O28" s="13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0"/>
      <c r="B29" s="1"/>
      <c r="C29" s="167" t="s">
        <v>7</v>
      </c>
      <c r="D29" s="95"/>
      <c r="E29" s="32">
        <v>0</v>
      </c>
      <c r="F29" s="1"/>
      <c r="G29" s="1"/>
      <c r="H29" s="7"/>
      <c r="I29" s="132"/>
      <c r="J29" s="168" t="str">
        <f>IF(infotype=3,"","Today's Date")</f>
        <v>Today's Date</v>
      </c>
      <c r="K29" s="144"/>
      <c r="L29" s="144"/>
      <c r="M29" s="143">
        <f ca="1">TODAY()</f>
        <v>44368</v>
      </c>
      <c r="N29" s="131"/>
      <c r="O29" s="13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0"/>
      <c r="B30" s="5" t="s">
        <v>40</v>
      </c>
      <c r="C30" s="1"/>
      <c r="D30" s="1"/>
      <c r="E30" s="55"/>
      <c r="F30" s="1"/>
      <c r="G30" s="1"/>
      <c r="H30" s="7"/>
      <c r="I30" s="132"/>
      <c r="J30" s="140" t="str">
        <f>IF(infotype=3,"","Total Months in Default")</f>
        <v>Total Months in Default</v>
      </c>
      <c r="K30" s="135"/>
      <c r="L30" s="135"/>
      <c r="M30" s="138">
        <f ca="1">ROUNDUP((DAYS360(M28,M29))/30,0)</f>
        <v>5</v>
      </c>
      <c r="N30" s="131"/>
      <c r="O30" s="134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0"/>
      <c r="B31" s="1"/>
      <c r="C31" s="167" t="s">
        <v>6</v>
      </c>
      <c r="D31" s="95"/>
      <c r="E31" s="32">
        <v>0</v>
      </c>
      <c r="F31" s="1"/>
      <c r="G31" s="1"/>
      <c r="H31" s="7"/>
      <c r="I31" s="132"/>
      <c r="J31" s="140" t="str">
        <f>IF(infotype=3,"",IF(M15="Previous HAMP Mod","Amortizing UPB at Default",IF(infotype=2,"UPB at Default",IF(infotype=1,"Est UPB at Default",0))))</f>
        <v>UPB at Default</v>
      </c>
      <c r="K31" s="135"/>
      <c r="L31" s="135"/>
      <c r="M31" s="141">
        <f>IF(infotype=1,-PV(rate/12,LOANTERM-ROUNDUP(DAYS360(FPAY,DDate)/30,0),M21),M26)</f>
        <v>92149.73</v>
      </c>
      <c r="N31" s="131"/>
      <c r="O31" s="13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10"/>
      <c r="B32" s="1"/>
      <c r="C32" s="1"/>
      <c r="D32" s="53" t="str">
        <f>IF(E31&gt;0,"Grossed up","")</f>
        <v/>
      </c>
      <c r="E32" s="35">
        <f>E31*1.25</f>
        <v>0</v>
      </c>
      <c r="F32" s="1"/>
      <c r="G32" s="1"/>
      <c r="H32" s="7"/>
      <c r="I32" s="132"/>
      <c r="J32" s="140" t="str">
        <f>IF(infotype=3,"","Taxes in Arrears")</f>
        <v>Taxes in Arrears</v>
      </c>
      <c r="K32" s="144"/>
      <c r="L32" s="144"/>
      <c r="M32" s="141">
        <f ca="1">M12*M30</f>
        <v>1239</v>
      </c>
      <c r="N32" s="131"/>
      <c r="O32" s="13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10"/>
      <c r="B33" s="1"/>
      <c r="C33" s="1"/>
      <c r="D33" s="1"/>
      <c r="E33" s="36"/>
      <c r="F33" s="1"/>
      <c r="G33" s="1"/>
      <c r="H33" s="7"/>
      <c r="I33" s="132"/>
      <c r="J33" s="140" t="str">
        <f>IF(infotype=3,"","Insurance Arrears")</f>
        <v>Insurance Arrears</v>
      </c>
      <c r="K33" s="144"/>
      <c r="L33" s="144"/>
      <c r="M33" s="141">
        <f ca="1">M13*M30</f>
        <v>0</v>
      </c>
      <c r="N33" s="131"/>
      <c r="O33" s="13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10"/>
      <c r="B34" s="25" t="s">
        <v>36</v>
      </c>
      <c r="C34" s="1"/>
      <c r="D34" s="1"/>
      <c r="E34" s="35">
        <f>E29+E27+E32</f>
        <v>0</v>
      </c>
      <c r="F34" s="1"/>
      <c r="G34" s="1"/>
      <c r="H34" s="7"/>
      <c r="I34" s="132"/>
      <c r="J34" s="168" t="str">
        <f>IF(infotype=3,"","Association Fee Arrears")</f>
        <v>Association Fee Arrears</v>
      </c>
      <c r="K34" s="144"/>
      <c r="L34" s="144"/>
      <c r="M34" s="141">
        <f ca="1">M14*M30</f>
        <v>0</v>
      </c>
      <c r="N34" s="131"/>
      <c r="O34" s="13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10"/>
      <c r="B35" s="1"/>
      <c r="C35" s="1"/>
      <c r="D35" s="1"/>
      <c r="E35" s="1"/>
      <c r="F35" s="1"/>
      <c r="G35" s="1"/>
      <c r="H35" s="7"/>
      <c r="I35" s="132"/>
      <c r="J35" s="140" t="str">
        <f>IF(infotype=3,"","Interest Arrears")</f>
        <v>Interest Arrears</v>
      </c>
      <c r="K35" s="144"/>
      <c r="L35" s="170"/>
      <c r="M35" s="141">
        <f ca="1">M30*ROUND(rate/12*M31,2)+(DAY(M29)-DAY(M28))*ROUND(rate/365*M31,4)</f>
        <v>2280.8880000000004</v>
      </c>
      <c r="N35" s="131"/>
      <c r="O35" s="13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" thickBot="1">
      <c r="A36" s="10"/>
      <c r="B36" s="1"/>
      <c r="C36" s="1"/>
      <c r="D36" s="1"/>
      <c r="E36" s="1"/>
      <c r="F36" s="1"/>
      <c r="G36" s="1"/>
      <c r="H36" s="7"/>
      <c r="I36" s="132"/>
      <c r="J36" s="140" t="str">
        <f>IF(infotype=3,"","MIP Arrears")</f>
        <v>MIP Arrears</v>
      </c>
      <c r="K36" s="144"/>
      <c r="L36" s="170"/>
      <c r="M36" s="141">
        <f ca="1">IF(M15="Yes",M20,M19)*M30</f>
        <v>0</v>
      </c>
      <c r="N36" s="131"/>
      <c r="O36" s="13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thickBot="1">
      <c r="A37" s="10"/>
      <c r="B37" s="2" t="s">
        <v>15</v>
      </c>
      <c r="C37" s="1"/>
      <c r="D37" s="1"/>
      <c r="E37" s="157">
        <f>E34+E19</f>
        <v>3000</v>
      </c>
      <c r="F37" s="1"/>
      <c r="G37" s="1"/>
      <c r="H37" s="7"/>
      <c r="I37" s="132"/>
      <c r="J37" s="135" t="str">
        <f>IF(infotype=3,"","Allowable Fees &amp; Costs")</f>
        <v>Allowable Fees &amp; Costs</v>
      </c>
      <c r="K37" s="135"/>
      <c r="L37" s="135"/>
      <c r="M37" s="139">
        <v>20</v>
      </c>
      <c r="N37" s="131"/>
      <c r="O37" s="13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thickBot="1">
      <c r="A38" s="10"/>
      <c r="B38" s="1"/>
      <c r="C38" s="1"/>
      <c r="D38" s="1"/>
      <c r="E38" s="1"/>
      <c r="F38" s="1"/>
      <c r="G38" s="1"/>
      <c r="H38" s="37"/>
      <c r="I38" s="132"/>
      <c r="J38" s="136" t="str">
        <f>IF(infotype=3,"","Total Eligible Arrears")</f>
        <v>Total Eligible Arrears</v>
      </c>
      <c r="K38" s="135"/>
      <c r="L38" s="135"/>
      <c r="M38" s="146">
        <f ca="1">IF(infotype=3,M27,SUM(M32:M37))</f>
        <v>3539.8880000000004</v>
      </c>
      <c r="N38" s="131"/>
      <c r="O38" s="13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">
      <c r="A39" s="181" t="s">
        <v>100</v>
      </c>
      <c r="B39" s="182"/>
      <c r="C39" s="182"/>
      <c r="D39" s="182"/>
      <c r="E39" s="182"/>
      <c r="F39" s="182"/>
      <c r="G39" s="182"/>
      <c r="H39" s="7"/>
      <c r="I39" s="10"/>
      <c r="J39" s="15"/>
      <c r="K39" s="12"/>
      <c r="L39" s="5"/>
      <c r="M39" s="5"/>
      <c r="N39" s="5"/>
      <c r="O39" s="1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">
      <c r="A40" s="10"/>
      <c r="B40" s="1"/>
      <c r="C40" s="1"/>
      <c r="D40" s="1"/>
      <c r="E40" s="1"/>
      <c r="F40" s="1"/>
      <c r="G40" s="1"/>
      <c r="H40" s="7"/>
      <c r="I40" s="10"/>
      <c r="J40" s="51" t="s">
        <v>11</v>
      </c>
      <c r="K40" s="1"/>
      <c r="L40" s="1"/>
      <c r="M40" s="1"/>
      <c r="N40" s="5"/>
      <c r="O40" s="1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0"/>
      <c r="B41" s="183" t="str">
        <f ca="1">IF('FHA Waterfall'!F8="No","Expenses Not Necessary, Front-End DTI Exceeds 31%", IF(($E$37-$M$22)*0.85*6&lt;$M$38,"Expenses Not Necessary, Not Enough Surplus Income for Repayment Plan","Expenses"))</f>
        <v>Expenses</v>
      </c>
      <c r="C41" s="183"/>
      <c r="D41" s="183"/>
      <c r="E41" s="163">
        <v>2500</v>
      </c>
      <c r="F41" s="1"/>
      <c r="G41" s="1"/>
      <c r="H41" s="7"/>
      <c r="I41" s="10"/>
      <c r="J41" s="177" t="str">
        <f>HYPERLINK("http://www.freddiemac.com/pmms/","Freddie Mac PMMS 30yr Fixed")</f>
        <v>Freddie Mac PMMS 30yr Fixed</v>
      </c>
      <c r="K41" s="178"/>
      <c r="L41" s="179"/>
      <c r="M41" s="117">
        <v>3.5000000000000003E-2</v>
      </c>
      <c r="N41" s="5"/>
      <c r="O41" s="1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">
      <c r="A42" s="10"/>
      <c r="B42" s="183"/>
      <c r="C42" s="183"/>
      <c r="D42" s="183"/>
      <c r="E42" s="1"/>
      <c r="F42" s="1"/>
      <c r="G42" s="1"/>
      <c r="H42" s="7"/>
      <c r="I42" s="10"/>
      <c r="J42" s="25" t="s">
        <v>44</v>
      </c>
      <c r="K42" s="2"/>
      <c r="L42" s="2"/>
      <c r="M42" s="118">
        <v>2.5000000000000001E-3</v>
      </c>
      <c r="N42" s="5"/>
      <c r="O42" s="1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 customHeight="1">
      <c r="A43" s="10"/>
      <c r="B43" s="183"/>
      <c r="C43" s="183"/>
      <c r="D43" s="183"/>
      <c r="E43" s="1"/>
      <c r="F43" s="1"/>
      <c r="G43" s="1"/>
      <c r="H43" s="7"/>
      <c r="I43" s="10"/>
      <c r="J43" s="2" t="s">
        <v>42</v>
      </c>
      <c r="K43" s="1"/>
      <c r="L43" s="1"/>
      <c r="M43" s="119">
        <f>ROUND((M41+M42)*800,0)/800</f>
        <v>3.7499999999999999E-2</v>
      </c>
      <c r="N43" s="5"/>
      <c r="O43" s="14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0"/>
      <c r="B44" s="1"/>
      <c r="C44" s="1"/>
      <c r="D44" s="1"/>
      <c r="E44" s="1"/>
      <c r="F44" s="1"/>
      <c r="G44" s="1"/>
      <c r="H44" s="18"/>
      <c r="I44" s="10"/>
      <c r="J44" s="78"/>
      <c r="K44" s="21"/>
      <c r="L44" s="5"/>
      <c r="M44" s="24"/>
      <c r="N44" s="5"/>
      <c r="O44" s="1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">
      <c r="A45" s="10"/>
      <c r="B45" s="1"/>
      <c r="C45" s="1"/>
      <c r="D45" s="1"/>
      <c r="E45" s="1"/>
      <c r="F45" s="1"/>
      <c r="G45" s="1"/>
      <c r="H45" s="7"/>
      <c r="I45" s="10"/>
      <c r="J45" s="51" t="s">
        <v>23</v>
      </c>
      <c r="K45" s="1"/>
      <c r="L45" s="1"/>
      <c r="M45" s="1"/>
      <c r="N45" s="5"/>
      <c r="O45" s="14"/>
      <c r="P45" s="5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10"/>
      <c r="B46" s="1"/>
      <c r="C46" s="1"/>
      <c r="D46" s="1"/>
      <c r="E46" s="1"/>
      <c r="F46" s="1"/>
      <c r="G46" s="1"/>
      <c r="H46" s="7"/>
      <c r="I46" s="10"/>
      <c r="J46" s="25" t="s">
        <v>45</v>
      </c>
      <c r="K46" s="1"/>
      <c r="L46" s="1"/>
      <c r="M46" s="106">
        <v>0</v>
      </c>
      <c r="N46" s="5"/>
      <c r="O46" s="14"/>
      <c r="P46" s="1"/>
    </row>
    <row r="47" spans="1:26">
      <c r="A47" s="10"/>
      <c r="B47" s="1"/>
      <c r="C47" s="1"/>
      <c r="D47" s="1"/>
      <c r="E47" s="1"/>
      <c r="F47" s="1"/>
      <c r="G47" s="1"/>
      <c r="H47" s="7"/>
      <c r="I47" s="10"/>
      <c r="J47" s="25" t="str">
        <f>IF(M46&gt;0,"UPB at Time of Previous Partial Claim","")</f>
        <v/>
      </c>
      <c r="K47" s="1"/>
      <c r="L47" s="1"/>
      <c r="M47" s="156">
        <v>0</v>
      </c>
      <c r="N47" s="1"/>
      <c r="O47" s="9"/>
      <c r="P47" s="1"/>
    </row>
    <row r="48" spans="1:26">
      <c r="A48" s="125" t="s">
        <v>103</v>
      </c>
      <c r="B48" s="17"/>
      <c r="C48" s="17"/>
      <c r="D48" s="17"/>
      <c r="E48" s="17"/>
      <c r="F48" s="17"/>
      <c r="G48" s="17"/>
      <c r="H48" s="18"/>
      <c r="I48" s="17"/>
      <c r="J48" s="17"/>
      <c r="K48" s="17"/>
      <c r="L48" s="17"/>
      <c r="M48" s="17"/>
      <c r="N48" s="123"/>
      <c r="O48" s="124" t="s">
        <v>49</v>
      </c>
      <c r="P48" s="1"/>
    </row>
    <row r="49" spans="8:15">
      <c r="H49" s="5"/>
      <c r="I49" s="1"/>
      <c r="J49" s="1"/>
      <c r="K49" s="25"/>
      <c r="L49" s="25"/>
      <c r="M49" s="25"/>
      <c r="N49" s="1"/>
      <c r="O49" s="5"/>
    </row>
    <row r="50" spans="8:15">
      <c r="H50" s="5"/>
      <c r="I50" s="1"/>
      <c r="N50" s="1"/>
      <c r="O50" s="5"/>
    </row>
    <row r="51" spans="8:15">
      <c r="H51" s="5"/>
      <c r="I51" s="1"/>
      <c r="J51" s="1"/>
      <c r="K51" s="1"/>
      <c r="L51" s="1"/>
      <c r="M51" s="1"/>
      <c r="N51" s="1"/>
      <c r="O51" s="5"/>
    </row>
    <row r="52" spans="8:15">
      <c r="H52" s="3"/>
      <c r="I52" s="1"/>
      <c r="J52" s="1"/>
      <c r="K52" s="1"/>
      <c r="L52" s="1"/>
      <c r="M52" s="1"/>
      <c r="N52" s="1"/>
      <c r="O52" s="5"/>
    </row>
    <row r="53" spans="8:15">
      <c r="H53" s="3"/>
      <c r="I53" s="5"/>
      <c r="J53" s="1"/>
      <c r="K53" s="1"/>
      <c r="L53" s="1"/>
      <c r="M53" s="1"/>
      <c r="N53" s="1"/>
      <c r="O53" s="5"/>
    </row>
    <row r="54" spans="8:15">
      <c r="H54" s="3"/>
      <c r="I54" s="3"/>
      <c r="J54" s="1"/>
      <c r="K54" s="1"/>
      <c r="L54" s="1"/>
      <c r="M54" s="1"/>
    </row>
    <row r="55" spans="8:15">
      <c r="H55" s="3"/>
      <c r="I55" s="3"/>
    </row>
    <row r="56" spans="8:15">
      <c r="I56" s="3"/>
    </row>
    <row r="57" spans="8:15">
      <c r="I57" s="3"/>
    </row>
  </sheetData>
  <sheetProtection sheet="1" objects="1" scenarios="1"/>
  <mergeCells count="8">
    <mergeCell ref="A1:O1"/>
    <mergeCell ref="I3:O3"/>
    <mergeCell ref="J41:L41"/>
    <mergeCell ref="J24:M24"/>
    <mergeCell ref="A3:G3"/>
    <mergeCell ref="A22:G22"/>
    <mergeCell ref="A39:G39"/>
    <mergeCell ref="B41:D43"/>
  </mergeCells>
  <phoneticPr fontId="2" type="noConversion"/>
  <conditionalFormatting sqref="K39 K29">
    <cfRule type="expression" dxfId="31" priority="32">
      <formula>IF($M$6="ARM",1,0)</formula>
    </cfRule>
  </conditionalFormatting>
  <conditionalFormatting sqref="M16">
    <cfRule type="expression" dxfId="30" priority="31">
      <formula>IF($M$15="Yes",1,0)</formula>
    </cfRule>
  </conditionalFormatting>
  <conditionalFormatting sqref="M19">
    <cfRule type="expression" dxfId="29" priority="29">
      <formula>IF($M$15="No",1,0)</formula>
    </cfRule>
  </conditionalFormatting>
  <conditionalFormatting sqref="M7">
    <cfRule type="expression" dxfId="28" priority="28">
      <formula>IF($M$6="ARM",0,1)</formula>
    </cfRule>
  </conditionalFormatting>
  <conditionalFormatting sqref="M20">
    <cfRule type="expression" dxfId="27" priority="27">
      <formula>IF($M$15="No",1,0)</formula>
    </cfRule>
  </conditionalFormatting>
  <conditionalFormatting sqref="M18">
    <cfRule type="expression" dxfId="26" priority="26">
      <formula>IF(AND($M$6="ARM",$M$15="No"),1,0)</formula>
    </cfRule>
  </conditionalFormatting>
  <conditionalFormatting sqref="M26">
    <cfRule type="expression" dxfId="25" priority="23">
      <formula>IF(AND(infotype=3,NOT(JulyRules)),1,0)</formula>
    </cfRule>
  </conditionalFormatting>
  <conditionalFormatting sqref="M26">
    <cfRule type="expression" dxfId="24" priority="18">
      <formula>IF(infotype=1,1,0)</formula>
    </cfRule>
  </conditionalFormatting>
  <conditionalFormatting sqref="M30:M38">
    <cfRule type="expression" dxfId="23" priority="17">
      <formula>IF(infotype=3,1,0)</formula>
    </cfRule>
  </conditionalFormatting>
  <conditionalFormatting sqref="M29">
    <cfRule type="expression" dxfId="22" priority="16">
      <formula>IF(infotype=3,1,0)</formula>
    </cfRule>
  </conditionalFormatting>
  <conditionalFormatting sqref="J27">
    <cfRule type="expression" dxfId="21" priority="14">
      <formula>IF(infotype=2,1,0)</formula>
    </cfRule>
  </conditionalFormatting>
  <conditionalFormatting sqref="J26">
    <cfRule type="expression" dxfId="20" priority="9">
      <formula>IF(AND(infotype=1,#REF!="Other"),1,0)</formula>
    </cfRule>
    <cfRule type="expression" dxfId="19" priority="10">
      <formula>IF(infotype=1,1,0)</formula>
    </cfRule>
  </conditionalFormatting>
  <conditionalFormatting sqref="M27">
    <cfRule type="expression" dxfId="18" priority="7">
      <formula>IF(infotype=2,1,0)</formula>
    </cfRule>
    <cfRule type="expression" dxfId="17" priority="8">
      <formula>IF(infotype=1,1,0)</formula>
    </cfRule>
  </conditionalFormatting>
  <conditionalFormatting sqref="M17">
    <cfRule type="expression" dxfId="16" priority="6">
      <formula>IF($M$15="No",1,0)</formula>
    </cfRule>
  </conditionalFormatting>
  <conditionalFormatting sqref="M47">
    <cfRule type="expression" dxfId="15" priority="5">
      <formula>IF($M$46&gt;0,0,1)</formula>
    </cfRule>
  </conditionalFormatting>
  <conditionalFormatting sqref="E6">
    <cfRule type="expression" dxfId="14" priority="4">
      <formula>IF($E$5="YTD",0,1)</formula>
    </cfRule>
  </conditionalFormatting>
  <conditionalFormatting sqref="E25">
    <cfRule type="expression" dxfId="13" priority="3">
      <formula>IF($E$24="YTD",0,1)</formula>
    </cfRule>
  </conditionalFormatting>
  <conditionalFormatting sqref="E41">
    <cfRule type="expression" dxfId="12" priority="1">
      <formula>IF(OR($M$22/$E$37&gt;0.31,($E$37-$M$22)*0.85*6&lt;$M$38),1,0)</formula>
    </cfRule>
  </conditionalFormatting>
  <dataValidations count="8">
    <dataValidation type="date" allowBlank="1" showErrorMessage="1" errorTitle="Improper Date" error="Default Date cell must contain a valid date after the first payment is due, but before today." promptTitle="Default Date" prompt="Enter the date of default" sqref="M28" xr:uid="{00000000-0002-0000-0000-000000000000}">
      <formula1>M11</formula1>
      <formula2>M29</formula2>
    </dataValidation>
    <dataValidation type="date" allowBlank="1" showInputMessage="1" showErrorMessage="1" sqref="E25 E6" xr:uid="{00000000-0002-0000-0000-000001000000}">
      <formula1>DATE(1,1,YEAR(TODAY()))</formula1>
      <formula2>TODAY()</formula2>
    </dataValidation>
    <dataValidation type="list" allowBlank="1" showInputMessage="1" showErrorMessage="1" sqref="E24 E5" xr:uid="{00000000-0002-0000-0000-000002000000}">
      <formula1>"Weekly, Biweekly, Bimonthly, Monthly, Annual, YTD"</formula1>
    </dataValidation>
    <dataValidation type="list" allowBlank="1" showInputMessage="1" showErrorMessage="1" sqref="M15:M16" xr:uid="{00000000-0002-0000-0000-000003000000}">
      <formula1>"Yes, No"</formula1>
    </dataValidation>
    <dataValidation type="list" allowBlank="1" showInputMessage="1" showErrorMessage="1" sqref="M25" xr:uid="{00000000-0002-0000-0000-000004000000}">
      <formula1>"Capitalized UPB, UPB at Default, Only Default Date"</formula1>
    </dataValidation>
    <dataValidation allowBlank="1" showErrorMessage="1" promptTitle="Default Date" prompt="Enter the date of the first missed payment." sqref="J28" xr:uid="{00000000-0002-0000-0000-000005000000}"/>
    <dataValidation allowBlank="1" showInputMessage="1" showErrorMessage="1" promptTitle="Monthly P&amp;I" prompt="Enter the amount of monthly principal and interest currently due on the loan - not the initial amount or amount that borrower last paid." sqref="M7" xr:uid="{00000000-0002-0000-0000-000006000000}"/>
    <dataValidation type="list" allowBlank="1" showInputMessage="1" showErrorMessage="1" sqref="M6" xr:uid="{00000000-0002-0000-0000-000007000000}">
      <formula1>"Fixed Rate, ARM"</formula1>
    </dataValidation>
  </dataValidations>
  <pageMargins left="0.25" right="0.25" top="0.75" bottom="0.75" header="0.3" footer="0.3"/>
  <pageSetup scale="82" orientation="landscape" r:id="rId1"/>
  <headerFooter alignWithMargins="0">
    <oddHeader xml:space="preserve">&amp;L&amp;"Arial,Bold"&amp;14&amp;F
&amp;"Arial,Regular"&amp;10Run on: &amp;D&amp;"Arial,Bold"&amp;14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CCFFCC"/>
    <pageSetUpPr autoPageBreaks="0"/>
  </sheetPr>
  <dimension ref="A1:Y75"/>
  <sheetViews>
    <sheetView showGridLines="0" topLeftCell="A10" zoomScaleNormal="100" workbookViewId="0">
      <selection activeCell="K23" sqref="K23"/>
    </sheetView>
  </sheetViews>
  <sheetFormatPr defaultColWidth="8.81640625" defaultRowHeight="12.5"/>
  <cols>
    <col min="1" max="1" width="3" customWidth="1"/>
    <col min="2" max="2" width="2.81640625" customWidth="1"/>
    <col min="3" max="3" width="11.1796875" customWidth="1"/>
    <col min="4" max="4" width="21.81640625" customWidth="1"/>
    <col min="5" max="5" width="20.81640625" customWidth="1"/>
    <col min="6" max="6" width="15.453125" customWidth="1"/>
    <col min="7" max="7" width="3.453125" customWidth="1"/>
    <col min="8" max="8" width="4.453125" customWidth="1"/>
    <col min="9" max="9" width="3.1796875" customWidth="1"/>
    <col min="10" max="10" width="3.26953125" customWidth="1"/>
    <col min="11" max="11" width="11.26953125" customWidth="1"/>
    <col min="12" max="12" width="16" customWidth="1"/>
    <col min="13" max="13" width="18.453125" customWidth="1"/>
    <col min="14" max="14" width="15.453125" customWidth="1"/>
    <col min="15" max="15" width="9.453125" customWidth="1"/>
    <col min="17" max="18" width="12.26953125" bestFit="1" customWidth="1"/>
  </cols>
  <sheetData>
    <row r="1" spans="1:25" ht="21" customHeight="1">
      <c r="A1" s="41"/>
      <c r="B1" s="42"/>
      <c r="C1" s="42"/>
      <c r="D1" s="42"/>
      <c r="E1" s="42"/>
      <c r="F1" s="42"/>
      <c r="G1" s="42"/>
      <c r="H1" s="166" t="s">
        <v>13</v>
      </c>
      <c r="I1" s="42"/>
      <c r="J1" s="42"/>
      <c r="K1" s="42"/>
      <c r="L1" s="42"/>
      <c r="M1" s="42"/>
      <c r="N1" s="42"/>
      <c r="O1" s="4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184" t="s">
        <v>97</v>
      </c>
      <c r="B2" s="185"/>
      <c r="C2" s="185"/>
      <c r="D2" s="185"/>
      <c r="E2" s="185"/>
      <c r="F2" s="185"/>
      <c r="G2" s="185"/>
      <c r="H2" s="7"/>
      <c r="I2" s="1"/>
      <c r="J2" s="2"/>
      <c r="K2" s="98"/>
      <c r="L2" s="1"/>
      <c r="M2" s="1"/>
      <c r="N2" s="1"/>
      <c r="O2" s="9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94"/>
      <c r="B3" s="93"/>
      <c r="C3" s="93"/>
      <c r="D3" s="93"/>
      <c r="E3" s="93"/>
      <c r="F3" s="93"/>
      <c r="G3" s="93"/>
      <c r="H3" s="7"/>
      <c r="I3" s="10"/>
      <c r="J3" s="51" t="str">
        <f ca="1">IF(DSAPC,"Stand-Alone Partial Claim Analysis","")</f>
        <v/>
      </c>
      <c r="K3" s="20"/>
      <c r="L3" s="1"/>
      <c r="M3" s="1"/>
      <c r="N3" s="11"/>
      <c r="O3" s="9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10"/>
      <c r="B4" s="116" t="s">
        <v>94</v>
      </c>
      <c r="C4" s="25"/>
      <c r="D4" s="1"/>
      <c r="E4" s="1"/>
      <c r="F4" s="25"/>
      <c r="G4" s="1"/>
      <c r="H4" s="7"/>
      <c r="I4" s="10"/>
      <c r="J4" s="12" t="str">
        <f ca="1">IF(DSAPC,"All three of the following must be true","")</f>
        <v/>
      </c>
      <c r="K4" s="1"/>
      <c r="L4" s="1"/>
      <c r="M4" s="1"/>
      <c r="N4" s="11"/>
      <c r="O4" s="9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10"/>
      <c r="B5" s="25" t="s">
        <v>96</v>
      </c>
      <c r="C5" s="1"/>
      <c r="D5" s="1"/>
      <c r="E5" s="1"/>
      <c r="F5" s="40">
        <f ca="1">Inputs!M22</f>
        <v>772.39351703480338</v>
      </c>
      <c r="G5" s="1"/>
      <c r="H5" s="7"/>
      <c r="I5" s="10"/>
      <c r="J5" s="2"/>
      <c r="K5" s="25" t="str">
        <f ca="1">IF(DSAPC,"Is interest rate at or below market?","")</f>
        <v/>
      </c>
      <c r="L5" s="1"/>
      <c r="M5" s="1"/>
      <c r="N5" s="64" t="str">
        <f>IF(rate&lt;=Market,"Yes","No")</f>
        <v>No</v>
      </c>
      <c r="O5" s="9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>
      <c r="A6" s="10"/>
      <c r="B6" s="25" t="s">
        <v>15</v>
      </c>
      <c r="C6" s="1"/>
      <c r="D6" s="25"/>
      <c r="E6" s="1"/>
      <c r="F6" s="40">
        <f>GMI</f>
        <v>3000</v>
      </c>
      <c r="G6" s="1"/>
      <c r="H6" s="7"/>
      <c r="I6" s="10"/>
      <c r="J6" s="2"/>
      <c r="K6" s="25" t="str">
        <f ca="1">IF(DSAPC,"Is PITIA payment at or below target?","")</f>
        <v/>
      </c>
      <c r="L6" s="1"/>
      <c r="M6" s="1"/>
      <c r="N6" s="64" t="str">
        <f ca="1">IF(Inputs!M22&lt;=F26,"Yes","No")</f>
        <v>No</v>
      </c>
      <c r="O6" s="9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 thickBot="1">
      <c r="A7" s="10"/>
      <c r="B7" s="25" t="s">
        <v>95</v>
      </c>
      <c r="C7" s="1"/>
      <c r="D7" s="25"/>
      <c r="E7" s="1"/>
      <c r="F7" s="159">
        <f ca="1">F5/F6</f>
        <v>0.25746450567826779</v>
      </c>
      <c r="G7" s="1"/>
      <c r="H7" s="7"/>
      <c r="I7" s="10"/>
      <c r="J7" s="2"/>
      <c r="K7" s="25" t="str">
        <f ca="1">IF(DSAPC,"Does Max PC exceed Missed Payments + Fees?","")</f>
        <v/>
      </c>
      <c r="L7" s="1"/>
      <c r="M7" s="1"/>
      <c r="N7" s="69" t="str">
        <f ca="1">IF(F31&gt;(Inputs!M30*Inputs!M22),"Yes","No")</f>
        <v>Yes</v>
      </c>
      <c r="O7" s="9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 thickBot="1">
      <c r="A8" s="10"/>
      <c r="B8" s="2" t="s">
        <v>22</v>
      </c>
      <c r="C8" s="1"/>
      <c r="D8" s="25"/>
      <c r="E8" s="1"/>
      <c r="F8" s="158" t="str">
        <f ca="1">IF(31%&gt;=F7, "Yes", "No")</f>
        <v>Yes</v>
      </c>
      <c r="G8" s="1"/>
      <c r="H8" s="7"/>
      <c r="I8" s="10"/>
      <c r="J8" s="2" t="str">
        <f ca="1">IF(DSAPC,"Result","")</f>
        <v/>
      </c>
      <c r="K8" s="25"/>
      <c r="L8" s="1"/>
      <c r="M8" s="1"/>
      <c r="N8" s="70" t="str">
        <f ca="1">IF(AND(N5="Yes",N6="Yes",N7="Yes"),"Yes","No")</f>
        <v>No</v>
      </c>
      <c r="O8" s="9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10"/>
      <c r="B9" s="23"/>
      <c r="C9" s="20" t="str">
        <f ca="1">IF(F8="YES","Continue ","Skip to FHA-HAMP")</f>
        <v xml:space="preserve">Continue </v>
      </c>
      <c r="D9" s="25"/>
      <c r="E9" s="1"/>
      <c r="F9" s="1"/>
      <c r="G9" s="1"/>
      <c r="H9" s="7"/>
      <c r="I9" s="10"/>
      <c r="J9" s="2"/>
      <c r="K9" s="20" t="str">
        <f ca="1">IF(DMPC,IF(N8="No","Continue to Modification with Partial Claim","Stand-Alone Partial Claim"),"")</f>
        <v/>
      </c>
      <c r="L9" s="1"/>
      <c r="M9" s="1"/>
      <c r="N9" s="67"/>
      <c r="O9" s="9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10"/>
      <c r="B10" s="23"/>
      <c r="C10" s="12"/>
      <c r="D10" s="25"/>
      <c r="E10" s="1"/>
      <c r="F10" s="1"/>
      <c r="G10" s="1"/>
      <c r="H10" s="7"/>
      <c r="I10" s="1"/>
      <c r="J10" s="1"/>
      <c r="K10" s="1"/>
      <c r="L10" s="1"/>
      <c r="M10" s="1"/>
      <c r="N10" s="1"/>
      <c r="O10" s="9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10"/>
      <c r="B11" s="51" t="str">
        <f ca="1">IF(StepFour,"Is 85% surplus income sufficient to cure arrears in 6 months?","")</f>
        <v>Is 85% surplus income sufficient to cure arrears in 6 months?</v>
      </c>
      <c r="C11" s="1"/>
      <c r="D11" s="25"/>
      <c r="E11" s="1"/>
      <c r="F11" s="1"/>
      <c r="G11" s="1"/>
      <c r="H11" s="7"/>
      <c r="I11" s="1"/>
      <c r="J11" s="51" t="str">
        <f ca="1">IF(DMPC,"Modification with Partial Claim","")</f>
        <v/>
      </c>
      <c r="K11" s="1"/>
      <c r="L11" s="1"/>
      <c r="M11" s="1"/>
      <c r="N11" s="1"/>
      <c r="O11" s="9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10"/>
      <c r="B12" s="26" t="str">
        <f ca="1">IF(StepFour,"Arrears, fees, &amp; costs","")</f>
        <v>Arrears, fees, &amp; costs</v>
      </c>
      <c r="C12" s="1"/>
      <c r="D12" s="1"/>
      <c r="E12" s="1"/>
      <c r="F12" s="73">
        <f ca="1">Inputs!M38</f>
        <v>3539.8880000000004</v>
      </c>
      <c r="G12" s="1"/>
      <c r="H12" s="7"/>
      <c r="I12" s="1"/>
      <c r="J12" s="12" t="str">
        <f ca="1">IF(DMPC,"Is enough Partial Claim available to achieve target?","")</f>
        <v/>
      </c>
      <c r="K12" s="1"/>
      <c r="L12" s="1"/>
      <c r="M12" s="1"/>
      <c r="N12" s="1"/>
      <c r="O12" s="9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10"/>
      <c r="B13" s="39" t="str">
        <f ca="1">IF(StepFour,"85% of surplus income","")</f>
        <v>85% of surplus income</v>
      </c>
      <c r="C13" s="25"/>
      <c r="D13" s="25"/>
      <c r="E13" s="1"/>
      <c r="F13" s="72">
        <f ca="1">IF((GMI-Inputs!M22)*6*0.85&lt;Inputs!M38,0.85*GMI-Inputs!M22,0.85*(GMI-Inputs!M22-Inputs!E41))</f>
        <v>-231.53448947958267</v>
      </c>
      <c r="G13" s="1"/>
      <c r="H13" s="7"/>
      <c r="I13" s="1"/>
      <c r="J13" s="8"/>
      <c r="K13" s="47" t="str">
        <f ca="1">IF(DMPC,"Partial Claim required to reach target payment","")</f>
        <v/>
      </c>
      <c r="L13" s="1"/>
      <c r="M13" s="4"/>
      <c r="N13" s="45">
        <f ca="1">CAPUPB+PV(Market/12,360,Target-TIA)</f>
        <v>-12749.831921173449</v>
      </c>
      <c r="O13" s="9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 thickBot="1">
      <c r="A14" s="10"/>
      <c r="B14" s="23" t="str">
        <f ca="1">IF(StepFour,"Months to cure arrears w/ of 85% surplus income","")</f>
        <v>Months to cure arrears w/ of 85% surplus income</v>
      </c>
      <c r="C14" s="25"/>
      <c r="D14" s="25"/>
      <c r="E14" s="1"/>
      <c r="F14" s="89" t="str">
        <f ca="1">IF(ROUNDUP(F12/F13, 0)&gt;0,ROUNDUP(F12/F13, 0),"∞")</f>
        <v>∞</v>
      </c>
      <c r="G14" s="1"/>
      <c r="H14" s="7"/>
      <c r="I14" s="1"/>
      <c r="J14" s="12"/>
      <c r="K14" s="46" t="str">
        <f ca="1">IF(DMPC,"Maximum Partial Claim","")</f>
        <v/>
      </c>
      <c r="L14" s="1"/>
      <c r="M14" s="1"/>
      <c r="N14" s="112">
        <f>F31</f>
        <v>27644.918999999998</v>
      </c>
      <c r="O14" s="9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 thickBot="1">
      <c r="A15" s="10"/>
      <c r="B15" s="15" t="str">
        <f ca="1">IF(StepFour,"Result","")</f>
        <v>Result</v>
      </c>
      <c r="C15" s="25"/>
      <c r="D15" s="25"/>
      <c r="E15" s="1"/>
      <c r="F15" s="90" t="str">
        <f ca="1">IF(F14="∞","No",IF(F14&lt;=6, "Yes", "No"))</f>
        <v>No</v>
      </c>
      <c r="G15" s="1"/>
      <c r="H15" s="7"/>
      <c r="I15" s="1"/>
      <c r="J15" s="15" t="str">
        <f ca="1">IF(DMPC,"Result","")</f>
        <v/>
      </c>
      <c r="K15" s="1"/>
      <c r="L15" s="1"/>
      <c r="M15" s="1"/>
      <c r="N15" s="48" t="str">
        <f ca="1">IF(N14&gt;=N13,"Yes","No")</f>
        <v>Yes</v>
      </c>
      <c r="O15" s="9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10"/>
      <c r="B16" s="15"/>
      <c r="C16" s="20" t="str">
        <f ca="1">IF(StepFour,IF(F15="NO", "Continue", "STOP, borrower eligibile for formal forbearance / repayment plan for 6 months"),"")</f>
        <v>Continue</v>
      </c>
      <c r="D16" s="25"/>
      <c r="E16" s="1"/>
      <c r="F16" s="1"/>
      <c r="G16" s="1"/>
      <c r="H16" s="7"/>
      <c r="I16" s="1"/>
      <c r="J16" s="15"/>
      <c r="K16" s="1"/>
      <c r="L16" s="1"/>
      <c r="M16" s="1"/>
      <c r="N16" s="1"/>
      <c r="O16" s="9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10"/>
      <c r="B17" s="1"/>
      <c r="C17" s="1"/>
      <c r="D17" s="1"/>
      <c r="E17" s="1"/>
      <c r="F17" s="1"/>
      <c r="G17" s="1"/>
      <c r="H17" s="7"/>
      <c r="I17" s="1"/>
      <c r="J17" s="51" t="str">
        <f ca="1">IF(DMWIP,"Modification with Payment Above Target","")</f>
        <v/>
      </c>
      <c r="K17" s="1"/>
      <c r="L17" s="27"/>
      <c r="M17" s="27"/>
      <c r="N17" s="27"/>
      <c r="O17" s="9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184" t="str">
        <f ca="1">IF(StepSix,"FHA-HAMP","")</f>
        <v>FHA-HAMP</v>
      </c>
      <c r="B18" s="185"/>
      <c r="C18" s="185"/>
      <c r="D18" s="185"/>
      <c r="E18" s="185"/>
      <c r="F18" s="185"/>
      <c r="G18" s="186"/>
      <c r="H18" s="7"/>
      <c r="I18" s="1"/>
      <c r="J18" s="12" t="str">
        <f ca="1">IF(DMWIP,"Is payment at or below 40% DTI?","")</f>
        <v/>
      </c>
      <c r="K18" s="1"/>
      <c r="L18" s="1"/>
      <c r="M18" s="1"/>
      <c r="N18" s="1"/>
      <c r="O18" s="9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94"/>
      <c r="B19" s="93"/>
      <c r="C19" s="93"/>
      <c r="D19" s="93"/>
      <c r="E19" s="93"/>
      <c r="F19" s="93"/>
      <c r="G19" s="93"/>
      <c r="H19" s="7"/>
      <c r="I19" s="1"/>
      <c r="J19" s="2"/>
      <c r="K19" s="25" t="str">
        <f ca="1">IF(DMWIP,"Payment with maximum deferment","")</f>
        <v/>
      </c>
      <c r="L19" s="1"/>
      <c r="M19" s="1"/>
      <c r="N19" s="45">
        <f ca="1">-PMT(Market/12,360,CAPUPB-N14)+TIA</f>
        <v>562.92561030732372</v>
      </c>
      <c r="O19" s="9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 thickBot="1">
      <c r="A20" s="10"/>
      <c r="B20" s="62" t="str">
        <f ca="1">IF(StepSix,"Calculate FHA HAMP Target Payment","")</f>
        <v>Calculate FHA HAMP Target Payment</v>
      </c>
      <c r="C20" s="1"/>
      <c r="D20" s="1"/>
      <c r="E20" s="1"/>
      <c r="F20" s="1"/>
      <c r="G20" s="1"/>
      <c r="H20" s="7"/>
      <c r="I20" s="1"/>
      <c r="J20" s="1"/>
      <c r="K20" s="25" t="str">
        <f ca="1">IF(DMWIP,"Debt to income ratio","")</f>
        <v/>
      </c>
      <c r="L20" s="1"/>
      <c r="M20" s="27"/>
      <c r="N20" s="114">
        <f ca="1">N19/GMI</f>
        <v>0.18764187010244124</v>
      </c>
      <c r="O20" s="9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 thickBot="1">
      <c r="A21" s="10"/>
      <c r="B21" s="1"/>
      <c r="C21" s="39" t="str">
        <f ca="1">IF(StepSix,"1. 31% of gross monthly income","")</f>
        <v>1. 31% of gross monthly income</v>
      </c>
      <c r="D21" s="1"/>
      <c r="E21" s="1"/>
      <c r="F21" s="44">
        <f>GMI*0.31</f>
        <v>930</v>
      </c>
      <c r="G21" s="1"/>
      <c r="H21" s="7"/>
      <c r="I21" s="1"/>
      <c r="J21" s="2" t="str">
        <f ca="1">IF(DMWIP,"Result","")</f>
        <v/>
      </c>
      <c r="K21" s="1"/>
      <c r="L21" s="1"/>
      <c r="M21" s="1"/>
      <c r="N21" s="48" t="str">
        <f ca="1">IF(N20&gt;0.4,"No","Yes")</f>
        <v>Yes</v>
      </c>
      <c r="O21" s="9"/>
      <c r="P21" s="3"/>
      <c r="Q21" s="3"/>
      <c r="R21" s="3"/>
      <c r="S21" s="3"/>
      <c r="T21" s="3"/>
      <c r="U21" s="3"/>
      <c r="V21" s="3"/>
      <c r="W21" s="3"/>
      <c r="X21" s="3"/>
    </row>
    <row r="22" spans="1:25" ht="15" customHeight="1">
      <c r="A22" s="10"/>
      <c r="B22" s="1"/>
      <c r="C22" s="39" t="str">
        <f ca="1">IF(StepSix,"2. 80% of current PITIA","")</f>
        <v>2. 80% of current PITIA</v>
      </c>
      <c r="D22" s="1"/>
      <c r="E22" s="1"/>
      <c r="F22" s="44">
        <f ca="1">Inputs!M22*0.8</f>
        <v>617.9148136278427</v>
      </c>
      <c r="G22" s="1"/>
      <c r="H22" s="7"/>
      <c r="I22" s="1"/>
      <c r="J22" s="1"/>
      <c r="K22" s="1"/>
      <c r="L22" s="1"/>
      <c r="M22" s="1"/>
      <c r="N22" s="1"/>
      <c r="O22" s="9"/>
      <c r="P22" s="3"/>
      <c r="Q22" s="3"/>
      <c r="R22" s="3"/>
      <c r="S22" s="3"/>
      <c r="T22" s="3"/>
      <c r="U22" s="3"/>
      <c r="V22" s="3"/>
      <c r="W22" s="3"/>
      <c r="X22" s="3"/>
    </row>
    <row r="23" spans="1:25" ht="15" customHeight="1">
      <c r="A23" s="10"/>
      <c r="B23" s="1"/>
      <c r="C23" s="39" t="str">
        <f ca="1">IF(StepSix,"3. 25% of gross monthly income","")</f>
        <v>3. 25% of gross monthly income</v>
      </c>
      <c r="D23" s="1"/>
      <c r="E23" s="1"/>
      <c r="F23" s="44">
        <f>GMI*0.25</f>
        <v>750</v>
      </c>
      <c r="G23" s="1"/>
      <c r="H23" s="7"/>
      <c r="I23" s="1"/>
      <c r="J23" s="1"/>
      <c r="K23" s="20" t="str">
        <f ca="1">IF(StepSix,IF('Data Validation'!B14=1, "Borrower ineligible for FHA-HAMP", "Borrower eligibile for FHA-HAMP."),"")</f>
        <v>Borrower eligibile for FHA-HAMP.</v>
      </c>
      <c r="L23" s="1"/>
      <c r="M23" s="1"/>
      <c r="N23" s="1"/>
      <c r="O23" s="9"/>
      <c r="P23" s="3"/>
      <c r="Q23" s="3"/>
      <c r="R23" s="3"/>
      <c r="S23" s="3"/>
      <c r="T23" s="3"/>
      <c r="U23" s="3"/>
      <c r="V23" s="3"/>
      <c r="W23" s="3"/>
      <c r="X23" s="3"/>
    </row>
    <row r="24" spans="1:25" ht="15" customHeight="1">
      <c r="A24" s="10"/>
      <c r="B24" s="1"/>
      <c r="C24" s="23" t="str">
        <f ca="1">IF(StepSix,"4. Take greater of 2 &amp; 3","")</f>
        <v>4. Take greater of 2 &amp; 3</v>
      </c>
      <c r="D24" s="1"/>
      <c r="E24" s="1"/>
      <c r="F24" s="44">
        <f ca="1">IF(F22&gt;F23, F22, F23)</f>
        <v>750</v>
      </c>
      <c r="G24" s="1"/>
      <c r="H24" s="7"/>
      <c r="I24" s="1"/>
      <c r="J24" s="1"/>
      <c r="K24" s="20"/>
      <c r="L24" s="1"/>
      <c r="M24" s="1"/>
      <c r="N24" s="1"/>
      <c r="O24" s="9"/>
      <c r="P24" s="3"/>
      <c r="Q24" s="3"/>
      <c r="R24" s="3"/>
      <c r="S24" s="3"/>
      <c r="T24" s="3"/>
      <c r="U24" s="3"/>
      <c r="V24" s="3"/>
      <c r="W24" s="3"/>
      <c r="X24" s="3"/>
    </row>
    <row r="25" spans="1:25" ht="15" customHeight="1" thickBot="1">
      <c r="A25" s="10"/>
      <c r="B25" s="1"/>
      <c r="C25" s="23" t="str">
        <f ca="1">IF(StepSix,"5. Take lesser of 1 &amp; 4","")</f>
        <v>5. Take lesser of 1 &amp; 4</v>
      </c>
      <c r="D25" s="1"/>
      <c r="E25" s="1"/>
      <c r="F25" s="61">
        <f ca="1">IF(F21&lt;F24, F21, F24)</f>
        <v>750</v>
      </c>
      <c r="G25" s="1"/>
      <c r="H25" s="7"/>
      <c r="I25" s="1"/>
      <c r="J25" s="1"/>
      <c r="K25" s="20"/>
      <c r="L25" s="1"/>
      <c r="M25" s="1"/>
      <c r="N25" s="1"/>
      <c r="O25" s="9"/>
      <c r="P25" s="3"/>
      <c r="Q25" s="111"/>
      <c r="R25" s="3"/>
      <c r="S25" s="3"/>
      <c r="T25" s="3"/>
      <c r="U25" s="3"/>
      <c r="V25" s="3"/>
      <c r="W25" s="3"/>
      <c r="X25" s="3"/>
    </row>
    <row r="26" spans="1:25" ht="13.5" thickBot="1">
      <c r="A26" s="10"/>
      <c r="B26" s="15" t="str">
        <f ca="1">IF(StepSix,"Target payment","")</f>
        <v>Target payment</v>
      </c>
      <c r="C26" s="1"/>
      <c r="D26" s="1"/>
      <c r="E26" s="1"/>
      <c r="F26" s="71">
        <f ca="1">F25</f>
        <v>750</v>
      </c>
      <c r="G26" s="1"/>
      <c r="H26" s="7"/>
      <c r="I26" s="1"/>
      <c r="J26" s="1"/>
      <c r="K26" s="20"/>
      <c r="L26" s="1"/>
      <c r="M26" s="1"/>
      <c r="N26" s="1"/>
      <c r="O26" s="9"/>
      <c r="P26" s="3"/>
      <c r="Q26" s="111"/>
      <c r="R26" s="3"/>
      <c r="S26" s="3"/>
      <c r="T26" s="3"/>
      <c r="U26" s="3"/>
      <c r="V26" s="3"/>
      <c r="W26" s="3"/>
      <c r="X26" s="3"/>
    </row>
    <row r="27" spans="1:25" ht="15" customHeight="1">
      <c r="A27" s="10"/>
      <c r="B27" s="15"/>
      <c r="C27" s="1"/>
      <c r="D27" s="1"/>
      <c r="E27" s="1"/>
      <c r="F27" s="120"/>
      <c r="G27" s="1"/>
      <c r="H27" s="7"/>
      <c r="I27" s="185" t="s">
        <v>99</v>
      </c>
      <c r="J27" s="185"/>
      <c r="K27" s="185"/>
      <c r="L27" s="185"/>
      <c r="M27" s="185"/>
      <c r="N27" s="185"/>
      <c r="O27" s="186"/>
      <c r="P27" s="3"/>
      <c r="Q27" s="115"/>
      <c r="R27" s="3"/>
      <c r="S27" s="3"/>
      <c r="T27" s="3"/>
      <c r="U27" s="3"/>
      <c r="V27" s="3"/>
      <c r="W27" s="3"/>
      <c r="X27" s="3"/>
    </row>
    <row r="28" spans="1:25" ht="15" customHeight="1">
      <c r="A28" s="10"/>
      <c r="B28" s="51" t="str">
        <f ca="1">IF(StepSix,"Calculate Maximum Partial Claim","")</f>
        <v>Calculate Maximum Partial Claim</v>
      </c>
      <c r="C28" s="1"/>
      <c r="D28" s="1"/>
      <c r="E28" s="1"/>
      <c r="F28" s="1"/>
      <c r="G28" s="9"/>
      <c r="H28" s="7"/>
      <c r="I28" s="1"/>
      <c r="J28" s="1"/>
      <c r="K28" s="20"/>
      <c r="L28" s="1"/>
      <c r="M28" s="1"/>
      <c r="N28" s="1"/>
      <c r="O28" s="9"/>
      <c r="Q28" s="111"/>
      <c r="R28" s="3"/>
      <c r="S28" s="3"/>
      <c r="T28" s="3"/>
      <c r="U28" s="3"/>
      <c r="V28" s="3"/>
      <c r="W28" s="3"/>
      <c r="X28" s="3"/>
      <c r="Y28" s="3"/>
    </row>
    <row r="29" spans="1:25" ht="15" customHeight="1">
      <c r="A29" s="10"/>
      <c r="B29" s="1"/>
      <c r="C29" s="1" t="str">
        <f ca="1">IF(StepSix,"1. 30% UPB at Default","")</f>
        <v>1. 30% UPB at Default</v>
      </c>
      <c r="D29" s="1"/>
      <c r="E29" s="1"/>
      <c r="F29" s="44">
        <f>IF(Inputs!M46&gt;0,Inputs!M47*0.3,DUPB*0.3)</f>
        <v>27644.918999999998</v>
      </c>
      <c r="G29" s="9"/>
      <c r="H29" s="7"/>
      <c r="I29" s="1"/>
      <c r="J29" s="1"/>
      <c r="K29" s="20"/>
      <c r="L29" s="1"/>
      <c r="M29" s="1"/>
      <c r="N29" s="1"/>
      <c r="O29" s="9"/>
      <c r="P29" s="3"/>
      <c r="Q29" s="3"/>
      <c r="R29" s="115"/>
      <c r="S29" s="3"/>
      <c r="T29" s="3"/>
      <c r="U29" s="3"/>
      <c r="V29" s="3"/>
      <c r="W29" s="3"/>
      <c r="X29" s="3"/>
      <c r="Y29" s="3"/>
    </row>
    <row r="30" spans="1:25" ht="15" customHeight="1" thickBot="1">
      <c r="A30" s="10"/>
      <c r="B30" s="2"/>
      <c r="C30" s="1" t="str">
        <f ca="1">IF(StepSix,"2. Less previous partial claims","")</f>
        <v>2. Less previous partial claims</v>
      </c>
      <c r="D30" s="1"/>
      <c r="E30" s="1"/>
      <c r="F30" s="91">
        <f>Inputs!M46</f>
        <v>0</v>
      </c>
      <c r="G30" s="9"/>
      <c r="H30" s="7"/>
      <c r="I30" s="1"/>
      <c r="J30" s="1"/>
      <c r="K30" s="20"/>
      <c r="L30" s="82" t="str">
        <f ca="1">HLOOKUP(1,OutcomeMatrix,2,FALSE)</f>
        <v>Stand Alone FHA-HAMP Modification</v>
      </c>
      <c r="M30" s="83"/>
      <c r="N30" s="161"/>
      <c r="O30" s="9"/>
      <c r="P30" s="3"/>
      <c r="Q30" s="111"/>
      <c r="R30" s="3"/>
      <c r="S30" s="3"/>
      <c r="T30" s="3"/>
      <c r="U30" s="3"/>
      <c r="V30" s="3"/>
      <c r="W30" s="3"/>
      <c r="X30" s="3"/>
      <c r="Y30" s="3"/>
    </row>
    <row r="31" spans="1:25" ht="15" customHeight="1" thickBot="1">
      <c r="A31" s="10"/>
      <c r="B31" s="2" t="str">
        <f ca="1">IF(StepSix,"Maximum Partial Claim","")</f>
        <v>Maximum Partial Claim</v>
      </c>
      <c r="C31" s="1"/>
      <c r="D31" s="1"/>
      <c r="E31" s="1"/>
      <c r="F31" s="92">
        <f>IF(F30&gt;F29,0,F29-F30)</f>
        <v>27644.918999999998</v>
      </c>
      <c r="G31" s="1"/>
      <c r="H31" s="16"/>
      <c r="I31" s="1"/>
      <c r="J31" s="1"/>
      <c r="K31" s="1"/>
      <c r="L31" s="82"/>
      <c r="M31" s="83"/>
      <c r="N31" s="1"/>
      <c r="O31" s="9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10"/>
      <c r="B32" s="1"/>
      <c r="C32" s="1"/>
      <c r="D32" s="1"/>
      <c r="E32" s="1"/>
      <c r="F32" s="1"/>
      <c r="G32" s="9"/>
      <c r="H32" s="16"/>
      <c r="I32" s="1"/>
      <c r="J32" s="1"/>
      <c r="K32" s="84" t="str">
        <f ca="1">IF(GFORB,"",IF(NoMod,"FHA-HAMP Minimum GMI","Monthly PITIA"))</f>
        <v>Monthly PITIA</v>
      </c>
      <c r="L32" s="1"/>
      <c r="M32" s="74">
        <f ca="1">HLOOKUP(1,OutcomeMatrix,3,FALSE)</f>
        <v>690.9535404738092</v>
      </c>
      <c r="N32" s="1"/>
      <c r="O32" s="9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">
      <c r="A33" s="1"/>
      <c r="B33" s="51" t="str">
        <f ca="1">IF(DSAHM,"Stand-Alone FHA HAMP Modification Analysis","")</f>
        <v>Stand-Alone FHA HAMP Modification Analysis</v>
      </c>
      <c r="C33" s="1"/>
      <c r="D33" s="1"/>
      <c r="E33" s="1"/>
      <c r="F33" s="1"/>
      <c r="G33" s="9"/>
      <c r="H33" s="7"/>
      <c r="I33" s="1"/>
      <c r="J33" s="1"/>
      <c r="K33" s="84" t="s">
        <v>64</v>
      </c>
      <c r="L33" s="1"/>
      <c r="M33" s="74">
        <f ca="1">HLOOKUP(1,OutcomeMatrix,4,FALSE)</f>
        <v>443.15354047380924</v>
      </c>
      <c r="N33" s="1"/>
      <c r="O33" s="9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>
      <c r="A34" s="10"/>
      <c r="B34" s="12" t="str">
        <f ca="1">IF(DSAHM,"Will modification result in PITIA at or below target?","")</f>
        <v>Will modification result in PITIA at or below target?</v>
      </c>
      <c r="C34" s="1"/>
      <c r="D34" s="1"/>
      <c r="E34" s="1"/>
      <c r="F34" s="1"/>
      <c r="G34" s="9"/>
      <c r="H34" s="7"/>
      <c r="I34" s="1"/>
      <c r="J34" s="1"/>
      <c r="K34" s="84" t="s">
        <v>47</v>
      </c>
      <c r="L34" s="1"/>
      <c r="M34" s="74">
        <f ca="1">HLOOKUP(1,OutcomeMatrix,5,FALSE)</f>
        <v>95689.618000000002</v>
      </c>
      <c r="N34" s="1"/>
      <c r="O34" s="9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>
      <c r="A35" s="10"/>
      <c r="B35" s="12"/>
      <c r="C35" s="25" t="str">
        <f ca="1">IF(DSAHM,"Target payment","")</f>
        <v>Target payment</v>
      </c>
      <c r="D35" s="1"/>
      <c r="E35" s="1"/>
      <c r="F35" s="91">
        <f ca="1">Target</f>
        <v>750</v>
      </c>
      <c r="G35" s="9"/>
      <c r="H35" s="7"/>
      <c r="I35" s="1"/>
      <c r="J35" s="1"/>
      <c r="K35" s="84" t="s">
        <v>31</v>
      </c>
      <c r="L35" s="1"/>
      <c r="M35" s="74">
        <f ca="1">HLOOKUP(1,OutcomeMatrix,6,FALSE)</f>
        <v>0</v>
      </c>
      <c r="N35" s="1"/>
      <c r="O35" s="9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 thickBot="1">
      <c r="A36" s="10"/>
      <c r="B36" s="2"/>
      <c r="C36" s="25" t="str">
        <f ca="1">IF(DSAHM,"Modification Payment","")</f>
        <v>Modification Payment</v>
      </c>
      <c r="D36" s="1"/>
      <c r="E36" s="1"/>
      <c r="F36" s="65">
        <f ca="1">-PMT(Market/12,360,CAPUPB)+TIA</f>
        <v>690.9535404738092</v>
      </c>
      <c r="G36" s="9"/>
      <c r="H36" s="7"/>
      <c r="I36" s="1"/>
      <c r="J36" s="1"/>
      <c r="K36" s="84" t="s">
        <v>32</v>
      </c>
      <c r="L36" s="1"/>
      <c r="M36" s="75">
        <f ca="1">HLOOKUP(1,OutcomeMatrix,7,FALSE)</f>
        <v>3.7499999999999999E-2</v>
      </c>
      <c r="N36" s="1"/>
      <c r="O36" s="9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 thickBot="1">
      <c r="A37" s="10"/>
      <c r="B37" s="2" t="str">
        <f ca="1">IF(DSAHM,"Result","")</f>
        <v>Result</v>
      </c>
      <c r="C37" s="1"/>
      <c r="D37" s="1"/>
      <c r="E37" s="1"/>
      <c r="F37" s="68" t="str">
        <f ca="1">IF(F36&gt;F35,"No","Yes")</f>
        <v>Yes</v>
      </c>
      <c r="G37" s="9"/>
      <c r="H37" s="7"/>
      <c r="I37" s="1"/>
      <c r="J37" s="1"/>
      <c r="K37" s="84" t="s">
        <v>33</v>
      </c>
      <c r="L37" s="1"/>
      <c r="M37" s="76">
        <f ca="1">HLOOKUP(1,OutcomeMatrix,8,FALSE)</f>
        <v>360</v>
      </c>
      <c r="N37" s="49"/>
      <c r="O37" s="162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>
      <c r="H38" s="7"/>
      <c r="I38" s="1"/>
      <c r="J38" s="1"/>
      <c r="K38" s="1"/>
      <c r="L38" s="1"/>
      <c r="M38" s="1"/>
      <c r="N38" s="50"/>
      <c r="O38" s="162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>
      <c r="A39" s="10"/>
      <c r="B39" s="2"/>
      <c r="C39" s="20" t="str">
        <f ca="1">IF(StepSix,IF(F37="No","Continue to Stand-Alone Partial Claim","Stand-Alone FHA-HAMP Modification"),"")</f>
        <v>Stand-Alone FHA-HAMP Modification</v>
      </c>
      <c r="D39" s="1"/>
      <c r="E39" s="1"/>
      <c r="F39" s="66"/>
      <c r="G39" s="9"/>
      <c r="H39" s="7"/>
      <c r="I39" s="1"/>
      <c r="J39" s="187" t="s">
        <v>48</v>
      </c>
      <c r="K39" s="187"/>
      <c r="L39" s="187"/>
      <c r="M39" s="187"/>
      <c r="N39" s="187"/>
      <c r="O39" s="188"/>
      <c r="T39" s="3"/>
      <c r="U39" s="3"/>
      <c r="V39" s="3"/>
      <c r="W39" s="3"/>
      <c r="X39" s="3"/>
      <c r="Y39" s="3"/>
    </row>
    <row r="40" spans="1:25" ht="12.75" customHeight="1">
      <c r="A40" s="10"/>
      <c r="B40" s="15"/>
      <c r="C40" s="1"/>
      <c r="D40" s="1"/>
      <c r="E40" s="1"/>
      <c r="F40" s="120"/>
      <c r="G40" s="1"/>
      <c r="H40" s="7"/>
      <c r="I40" s="1"/>
      <c r="J40" s="164"/>
      <c r="K40" s="164"/>
      <c r="L40" s="164"/>
      <c r="M40" s="164"/>
      <c r="N40" s="164"/>
      <c r="O40" s="165"/>
      <c r="P40" s="3"/>
      <c r="Q40" s="22"/>
      <c r="R40" s="3"/>
      <c r="S40" s="3"/>
      <c r="T40" s="3"/>
      <c r="U40" s="3"/>
      <c r="V40" s="3"/>
      <c r="W40" s="3"/>
      <c r="X40" s="3"/>
      <c r="Y40" s="3"/>
    </row>
    <row r="41" spans="1:25" ht="13">
      <c r="A41" s="125" t="s">
        <v>103</v>
      </c>
      <c r="B41" s="100"/>
      <c r="C41" s="17"/>
      <c r="D41" s="17"/>
      <c r="E41" s="17"/>
      <c r="F41" s="17"/>
      <c r="G41" s="17"/>
      <c r="H41" s="18"/>
      <c r="I41" s="17"/>
      <c r="J41" s="17"/>
      <c r="K41" s="17"/>
      <c r="L41" s="17"/>
      <c r="M41" s="17"/>
      <c r="N41" s="17"/>
      <c r="O41" s="124" t="s">
        <v>49</v>
      </c>
      <c r="P41" s="5"/>
      <c r="Q41" s="5"/>
      <c r="R41" s="5"/>
      <c r="S41" s="5"/>
      <c r="T41" s="5"/>
      <c r="U41" s="5"/>
      <c r="V41" s="5"/>
      <c r="W41" s="3"/>
      <c r="X41" s="3"/>
      <c r="Y41" s="3"/>
    </row>
    <row r="42" spans="1:25" ht="10.5" customHeight="1">
      <c r="A42" s="1"/>
      <c r="B42" s="1"/>
      <c r="C42" s="15"/>
      <c r="D42" s="1"/>
      <c r="E42" s="1"/>
      <c r="F42" s="1"/>
      <c r="G42" s="27"/>
      <c r="H42" s="1"/>
      <c r="I42" s="1"/>
      <c r="J42" s="1"/>
      <c r="K42" s="1"/>
      <c r="L42" s="1"/>
      <c r="M42" s="1"/>
      <c r="N42" s="1"/>
      <c r="O42" s="5"/>
      <c r="P42" s="5"/>
      <c r="Q42" s="5"/>
      <c r="R42" s="5"/>
      <c r="S42" s="5"/>
      <c r="T42" s="5"/>
      <c r="U42" s="5"/>
      <c r="V42" s="5"/>
      <c r="W42" s="3"/>
      <c r="X42" s="3"/>
      <c r="Y42" s="3"/>
    </row>
    <row r="43" spans="1:25" ht="15" customHeight="1">
      <c r="A43" s="1"/>
      <c r="B43" s="1"/>
      <c r="C43" s="1"/>
      <c r="D43" s="1"/>
      <c r="E43" s="1"/>
      <c r="F43" s="1"/>
      <c r="G43" s="27"/>
      <c r="H43" s="1"/>
      <c r="I43" s="1"/>
      <c r="J43" s="1"/>
      <c r="K43" s="1"/>
      <c r="L43" s="1"/>
      <c r="M43" s="1"/>
      <c r="N43" s="1"/>
      <c r="O43" s="5"/>
      <c r="P43" s="5"/>
      <c r="Q43" s="5"/>
      <c r="R43" s="5"/>
      <c r="S43" s="5"/>
      <c r="T43" s="5"/>
      <c r="U43" s="5"/>
      <c r="V43" s="5"/>
      <c r="W43" s="3"/>
      <c r="X43" s="3"/>
      <c r="Y43" s="3"/>
    </row>
    <row r="44" spans="1:25" ht="15" customHeight="1">
      <c r="A44" s="1"/>
      <c r="B44" s="1"/>
      <c r="C44" s="1"/>
      <c r="D44" s="1"/>
      <c r="E44" s="1"/>
      <c r="F44" s="1"/>
      <c r="G44" s="1"/>
      <c r="H44" s="5"/>
      <c r="I44" s="1"/>
      <c r="J44" s="1"/>
      <c r="K44" s="1"/>
      <c r="L44" s="1"/>
      <c r="M44" s="1"/>
      <c r="N44" s="1"/>
      <c r="O44" s="5"/>
      <c r="P44" s="5"/>
      <c r="Q44" s="5"/>
      <c r="R44" s="5"/>
      <c r="S44" s="5"/>
      <c r="T44" s="5"/>
      <c r="U44" s="5"/>
      <c r="V44" s="5"/>
      <c r="W44" s="3"/>
      <c r="X44" s="3"/>
      <c r="Y44" s="3"/>
    </row>
    <row r="45" spans="1:25" ht="15" customHeight="1">
      <c r="A45" s="1"/>
      <c r="B45" s="25"/>
      <c r="C45" s="1"/>
      <c r="D45" s="1"/>
      <c r="E45" s="1"/>
      <c r="F45" s="1"/>
      <c r="G45" s="1"/>
      <c r="H45" s="5"/>
      <c r="I45" s="1"/>
      <c r="J45" s="1"/>
      <c r="K45" s="1"/>
      <c r="L45" s="1"/>
      <c r="M45" s="1"/>
      <c r="N45" s="1"/>
      <c r="O45" s="1"/>
      <c r="P45" s="5"/>
      <c r="Q45" s="5"/>
      <c r="R45" s="5"/>
      <c r="S45" s="5"/>
      <c r="T45" s="5"/>
      <c r="U45" s="5"/>
      <c r="V45" s="5"/>
      <c r="W45" s="3"/>
      <c r="X45" s="3"/>
      <c r="Y45" s="3"/>
    </row>
    <row r="46" spans="1:25" ht="13">
      <c r="A46" s="1"/>
      <c r="B46" s="12"/>
      <c r="C46" s="23"/>
      <c r="D46" s="1"/>
      <c r="E46" s="1"/>
      <c r="F46" s="1"/>
      <c r="G46" s="1"/>
      <c r="H46" s="5"/>
      <c r="I46" s="1"/>
      <c r="J46" s="1"/>
      <c r="K46" s="1"/>
      <c r="L46" s="1"/>
      <c r="M46" s="1"/>
      <c r="N46" s="1"/>
      <c r="O46" s="1"/>
      <c r="P46" s="5"/>
      <c r="Q46" s="5"/>
      <c r="R46" s="1"/>
      <c r="S46" s="1"/>
      <c r="T46" s="1"/>
      <c r="U46" s="1"/>
      <c r="V46" s="1"/>
    </row>
    <row r="47" spans="1:25" ht="14">
      <c r="A47" s="1"/>
      <c r="B47" s="26"/>
      <c r="C47" s="1"/>
      <c r="D47" s="1"/>
      <c r="E47" s="1"/>
      <c r="F47" s="1"/>
      <c r="G47" s="1"/>
      <c r="H47" s="5"/>
      <c r="I47" s="1"/>
      <c r="J47" s="8"/>
      <c r="K47" s="1"/>
      <c r="L47" s="1"/>
      <c r="M47" s="1"/>
      <c r="N47" s="1"/>
      <c r="O47" s="1"/>
      <c r="P47" s="5"/>
      <c r="Q47" s="5"/>
      <c r="R47" s="1"/>
      <c r="S47" s="1"/>
      <c r="T47" s="1"/>
      <c r="U47" s="1"/>
      <c r="V47" s="1"/>
    </row>
    <row r="48" spans="1:25">
      <c r="A48" s="1"/>
      <c r="B48" s="1"/>
      <c r="C48" s="1"/>
      <c r="D48" s="1"/>
      <c r="E48" s="1"/>
      <c r="F48" s="1"/>
      <c r="G48" s="1"/>
      <c r="H48" s="5"/>
      <c r="I48" s="1"/>
      <c r="J48" s="1"/>
      <c r="K48" s="1"/>
      <c r="L48" s="1"/>
      <c r="M48" s="1"/>
      <c r="N48" s="1"/>
      <c r="O48" s="1"/>
      <c r="P48" s="5"/>
      <c r="Q48" s="5"/>
      <c r="R48" s="1"/>
      <c r="S48" s="1"/>
      <c r="T48" s="1"/>
      <c r="U48" s="1"/>
      <c r="V48" s="1"/>
    </row>
    <row r="49" spans="1:22" ht="13">
      <c r="A49" s="1"/>
      <c r="B49" s="1"/>
      <c r="C49" s="28"/>
      <c r="D49" s="27"/>
      <c r="E49" s="1"/>
      <c r="F49" s="1"/>
      <c r="G49" s="1"/>
      <c r="H49" s="5"/>
      <c r="I49" s="1"/>
      <c r="J49" s="1"/>
      <c r="K49" s="1"/>
      <c r="L49" s="1"/>
      <c r="M49" s="1"/>
      <c r="N49" s="1"/>
      <c r="P49" s="5"/>
      <c r="Q49" s="5"/>
      <c r="R49" s="1"/>
      <c r="S49" s="1"/>
      <c r="T49" s="1"/>
      <c r="U49" s="1"/>
      <c r="V49" s="1"/>
    </row>
    <row r="50" spans="1:22" ht="13">
      <c r="A50" s="1"/>
      <c r="B50" s="1"/>
      <c r="C50" s="28"/>
      <c r="D50" s="27"/>
      <c r="E50" s="1"/>
      <c r="F50" s="1"/>
      <c r="G50" s="1"/>
      <c r="H50" s="5"/>
      <c r="I50" s="1"/>
      <c r="J50" s="1"/>
      <c r="K50" s="1"/>
      <c r="L50" s="1"/>
      <c r="M50" s="1"/>
      <c r="N50" s="1"/>
      <c r="P50" s="5"/>
      <c r="Q50" s="5"/>
      <c r="R50" s="1"/>
      <c r="S50" s="1"/>
      <c r="T50" s="1"/>
      <c r="U50" s="1"/>
      <c r="V50" s="1"/>
    </row>
    <row r="51" spans="1:22">
      <c r="A51" s="1"/>
      <c r="B51" s="1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  <c r="N51" s="1"/>
      <c r="P51" s="5"/>
      <c r="Q51" s="5"/>
      <c r="R51" s="1"/>
      <c r="S51" s="1"/>
      <c r="T51" s="1"/>
      <c r="U51" s="1"/>
      <c r="V51" s="1"/>
    </row>
    <row r="52" spans="1:22" ht="13">
      <c r="A52" s="1"/>
      <c r="B52" s="2"/>
      <c r="C52" s="1"/>
      <c r="D52" s="1"/>
      <c r="E52" s="1"/>
      <c r="F52" s="1"/>
      <c r="G52" s="1"/>
      <c r="H52" s="5"/>
      <c r="I52" s="1"/>
      <c r="J52" s="1"/>
      <c r="K52" s="1"/>
      <c r="L52" s="1"/>
      <c r="M52" s="1"/>
      <c r="N52" s="1"/>
      <c r="P52" s="5"/>
      <c r="Q52" s="5"/>
      <c r="R52" s="1"/>
      <c r="S52" s="1"/>
      <c r="T52" s="1"/>
      <c r="U52" s="1"/>
      <c r="V52" s="1"/>
    </row>
    <row r="53" spans="1:22">
      <c r="A53" s="1"/>
      <c r="B53" s="1"/>
      <c r="C53" s="25"/>
      <c r="D53" s="1"/>
      <c r="E53" s="1"/>
      <c r="F53" s="1"/>
      <c r="G53" s="1"/>
      <c r="H53" s="5"/>
      <c r="I53" s="1"/>
      <c r="J53" s="1"/>
      <c r="K53" s="1"/>
      <c r="N53" s="1"/>
      <c r="P53" s="5"/>
      <c r="Q53" s="5"/>
      <c r="R53" s="1"/>
      <c r="S53" s="1"/>
      <c r="T53" s="1"/>
      <c r="U53" s="1"/>
      <c r="V53" s="1"/>
    </row>
    <row r="54" spans="1:22">
      <c r="A54" s="1"/>
      <c r="B54" s="1"/>
      <c r="C54" s="25"/>
      <c r="D54" s="1"/>
      <c r="E54" s="1"/>
      <c r="F54" s="1"/>
      <c r="G54" s="1"/>
      <c r="H54" s="5"/>
      <c r="I54" s="1"/>
      <c r="J54" s="1"/>
      <c r="K54" s="1"/>
      <c r="N54" s="1"/>
      <c r="P54" s="5"/>
      <c r="Q54" s="5"/>
      <c r="R54" s="1"/>
      <c r="S54" s="1"/>
      <c r="T54" s="1"/>
      <c r="U54" s="1"/>
      <c r="V54" s="1"/>
    </row>
    <row r="55" spans="1:22">
      <c r="A55" s="1"/>
      <c r="B55" s="1"/>
      <c r="C55" s="1"/>
      <c r="D55" s="1"/>
      <c r="E55" s="1"/>
      <c r="F55" s="1"/>
      <c r="G55" s="1"/>
      <c r="H55" s="1"/>
      <c r="J55" s="1"/>
      <c r="K55" s="1"/>
      <c r="P55" s="5"/>
      <c r="Q55" s="5"/>
      <c r="R55" s="1"/>
      <c r="S55" s="1"/>
      <c r="T55" s="1"/>
      <c r="U55" s="1"/>
      <c r="V55" s="1"/>
    </row>
    <row r="56" spans="1:22">
      <c r="A56" s="1"/>
      <c r="B56" s="1"/>
      <c r="C56" s="1"/>
      <c r="D56" s="1"/>
      <c r="E56" s="1"/>
      <c r="F56" s="1"/>
      <c r="G56" s="1"/>
      <c r="H56" s="1"/>
      <c r="J56" s="1"/>
      <c r="K56" s="1"/>
      <c r="P56" s="5"/>
      <c r="Q56" s="5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"/>
      <c r="H57" s="1"/>
      <c r="J57" s="1"/>
      <c r="K57" s="1"/>
      <c r="P57" s="5"/>
      <c r="Q57" s="5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J58" s="1"/>
      <c r="K58" s="1"/>
      <c r="P58" s="5"/>
      <c r="Q58" s="5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J59" s="1"/>
      <c r="K59" s="1"/>
      <c r="P59" s="5"/>
      <c r="Q59" s="5"/>
      <c r="R59" s="1"/>
      <c r="S59" s="1"/>
      <c r="T59" s="1"/>
      <c r="U59" s="1"/>
      <c r="V59" s="1"/>
    </row>
    <row r="60" spans="1:22">
      <c r="A60" s="1"/>
      <c r="B60" s="1"/>
      <c r="C60" s="1"/>
      <c r="D60" s="1"/>
      <c r="E60" s="1"/>
      <c r="F60" s="1"/>
      <c r="G60" s="1"/>
      <c r="H60" s="1"/>
      <c r="J60" s="1"/>
      <c r="K60" s="1"/>
      <c r="P60" s="5"/>
      <c r="Q60" s="1"/>
      <c r="R60" s="1"/>
      <c r="S60" s="1"/>
      <c r="T60" s="1"/>
      <c r="U60" s="1"/>
      <c r="V60" s="1"/>
    </row>
    <row r="61" spans="1:22">
      <c r="A61" s="1"/>
      <c r="B61" s="1"/>
      <c r="C61" s="1"/>
      <c r="D61" s="1"/>
      <c r="E61" s="1"/>
      <c r="F61" s="1"/>
      <c r="G61" s="1"/>
      <c r="H61" s="1"/>
      <c r="J61" s="1"/>
      <c r="K61" s="1"/>
      <c r="P61" s="5"/>
      <c r="Q61" s="1"/>
      <c r="R61" s="1"/>
      <c r="S61" s="1"/>
      <c r="T61" s="1"/>
      <c r="U61" s="1"/>
      <c r="V61" s="1"/>
    </row>
    <row r="62" spans="1:22">
      <c r="A62" s="1"/>
      <c r="B62" s="1"/>
      <c r="C62" s="1"/>
      <c r="D62" s="1"/>
      <c r="E62" s="1"/>
      <c r="F62" s="1"/>
      <c r="G62" s="1"/>
      <c r="H62" s="1"/>
      <c r="P62" s="5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"/>
      <c r="H63" s="1"/>
      <c r="P63" s="5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"/>
      <c r="H64" s="1"/>
      <c r="P64" s="5"/>
      <c r="Q64" s="1"/>
      <c r="R64" s="1"/>
      <c r="S64" s="1"/>
      <c r="T64" s="1"/>
      <c r="U64" s="1"/>
      <c r="V64" s="1"/>
    </row>
    <row r="65" spans="1:22">
      <c r="A65" s="1"/>
      <c r="B65" s="1"/>
      <c r="C65" s="1"/>
      <c r="D65" s="1"/>
      <c r="E65" s="1"/>
      <c r="F65" s="1"/>
      <c r="G65" s="1"/>
      <c r="H65" s="1"/>
      <c r="P65" s="5"/>
      <c r="Q65" s="1"/>
      <c r="R65" s="1"/>
      <c r="S65" s="1"/>
      <c r="T65" s="1"/>
      <c r="U65" s="1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P66" s="5"/>
      <c r="Q66" s="1"/>
      <c r="R66" s="1"/>
      <c r="S66" s="1"/>
      <c r="T66" s="1"/>
      <c r="U66" s="1"/>
      <c r="V66" s="1"/>
    </row>
    <row r="67" spans="1:22">
      <c r="A67" s="1"/>
      <c r="B67" s="1"/>
      <c r="C67" s="1"/>
      <c r="D67" s="1"/>
      <c r="E67" s="1"/>
      <c r="F67" s="1"/>
      <c r="G67" s="1"/>
      <c r="H67" s="1"/>
      <c r="P67" s="5"/>
      <c r="Q67" s="1"/>
      <c r="R67" s="1"/>
      <c r="S67" s="1"/>
      <c r="T67" s="1"/>
      <c r="U67" s="1"/>
      <c r="V67" s="1"/>
    </row>
    <row r="68" spans="1:22">
      <c r="B68" s="1"/>
      <c r="C68" s="1"/>
      <c r="D68" s="1"/>
      <c r="E68" s="1"/>
      <c r="F68" s="1"/>
      <c r="H68" s="1"/>
      <c r="P68" s="5"/>
      <c r="Q68" s="1"/>
      <c r="R68" s="1"/>
      <c r="S68" s="1"/>
      <c r="T68" s="1"/>
      <c r="U68" s="1"/>
      <c r="V68" s="1"/>
    </row>
    <row r="69" spans="1:22">
      <c r="B69" s="1"/>
      <c r="C69" s="1"/>
      <c r="D69" s="1"/>
      <c r="E69" s="1"/>
      <c r="F69" s="1"/>
      <c r="H69" s="1"/>
      <c r="P69" s="5"/>
      <c r="Q69" s="1"/>
      <c r="R69" s="1"/>
      <c r="S69" s="1"/>
      <c r="T69" s="1"/>
      <c r="U69" s="1"/>
      <c r="V69" s="1"/>
    </row>
    <row r="70" spans="1:22">
      <c r="H70" s="1"/>
      <c r="P70" s="5"/>
      <c r="Q70" s="1"/>
      <c r="R70" s="1"/>
      <c r="S70" s="1"/>
      <c r="T70" s="1"/>
      <c r="U70" s="1"/>
      <c r="V70" s="1"/>
    </row>
    <row r="71" spans="1:22">
      <c r="H71" s="1"/>
      <c r="P71" s="5"/>
      <c r="Q71" s="1"/>
      <c r="R71" s="1"/>
      <c r="S71" s="1"/>
      <c r="T71" s="1"/>
      <c r="U71" s="1"/>
      <c r="V71" s="1"/>
    </row>
    <row r="72" spans="1:22">
      <c r="H72" s="1"/>
      <c r="P72" s="5"/>
      <c r="Q72" s="1"/>
      <c r="R72" s="1"/>
      <c r="S72" s="1"/>
      <c r="T72" s="1"/>
      <c r="U72" s="1"/>
      <c r="V72" s="1"/>
    </row>
    <row r="73" spans="1:22">
      <c r="H73" s="1"/>
      <c r="P73" s="5"/>
      <c r="Q73" s="1"/>
      <c r="R73" s="1"/>
      <c r="S73" s="1"/>
      <c r="T73" s="1"/>
      <c r="U73" s="1"/>
      <c r="V73" s="1"/>
    </row>
    <row r="74" spans="1:22">
      <c r="H74" s="1"/>
      <c r="P74" s="1"/>
      <c r="Q74" s="1"/>
      <c r="R74" s="1"/>
      <c r="S74" s="1"/>
      <c r="T74" s="1"/>
      <c r="U74" s="1"/>
      <c r="V74" s="1"/>
    </row>
    <row r="75" spans="1:22">
      <c r="H75" s="1"/>
    </row>
  </sheetData>
  <mergeCells count="4">
    <mergeCell ref="A2:G2"/>
    <mergeCell ref="A18:G18"/>
    <mergeCell ref="I27:O27"/>
    <mergeCell ref="J39:O39"/>
  </mergeCells>
  <conditionalFormatting sqref="F5:F8">
    <cfRule type="expression" dxfId="11" priority="27">
      <formula>IF(AND(#REF!="Yes",#REF!="Yes"),0,1)</formula>
    </cfRule>
  </conditionalFormatting>
  <conditionalFormatting sqref="F12:F15">
    <cfRule type="expression" dxfId="10" priority="26">
      <formula>IF(StepFour,0,1)</formula>
    </cfRule>
  </conditionalFormatting>
  <conditionalFormatting sqref="N19:N21 F29:F31 F21:F27 F39:F40 N2:N15 F33:F37">
    <cfRule type="expression" dxfId="9" priority="7" stopIfTrue="1">
      <formula>IF(StepSix,0,1)</formula>
    </cfRule>
  </conditionalFormatting>
  <conditionalFormatting sqref="F35:F37">
    <cfRule type="expression" dxfId="8" priority="5">
      <formula>IF(DSAHM,0,1)</formula>
    </cfRule>
  </conditionalFormatting>
  <conditionalFormatting sqref="J3">
    <cfRule type="expression" dxfId="7" priority="17">
      <formula>IF(EMPC,1,0)</formula>
    </cfRule>
  </conditionalFormatting>
  <conditionalFormatting sqref="K23:K26 K28:K31">
    <cfRule type="expression" dxfId="6" priority="16">
      <formula>IF($N$21="No",1,0)</formula>
    </cfRule>
  </conditionalFormatting>
  <conditionalFormatting sqref="N13:N15">
    <cfRule type="expression" dxfId="5" priority="20">
      <formula>IF(DMPC,0,1)</formula>
    </cfRule>
  </conditionalFormatting>
  <conditionalFormatting sqref="N19:N21">
    <cfRule type="expression" dxfId="4" priority="6">
      <formula>IF(DMWIP,0,1)</formula>
    </cfRule>
  </conditionalFormatting>
  <conditionalFormatting sqref="M33">
    <cfRule type="expression" dxfId="3" priority="4">
      <formula>IF(NoMod,1,0)</formula>
    </cfRule>
  </conditionalFormatting>
  <conditionalFormatting sqref="K33:K37 M34:M37">
    <cfRule type="expression" dxfId="2" priority="3">
      <formula>IF(OR(GFORB,NoMod),1,0)</formula>
    </cfRule>
  </conditionalFormatting>
  <conditionalFormatting sqref="M32:M33">
    <cfRule type="expression" dxfId="1" priority="2">
      <formula>IF(GFORB,1,0)</formula>
    </cfRule>
  </conditionalFormatting>
  <conditionalFormatting sqref="N5:N8">
    <cfRule type="expression" dxfId="0" priority="1">
      <formula>IF(DSAPC=0,1,0)</formula>
    </cfRule>
  </conditionalFormatting>
  <hyperlinks>
    <hyperlink ref="J39" r:id="rId1" xr:uid="{00000000-0004-0000-0100-000000000000}"/>
  </hyperlinks>
  <pageMargins left="0.43" right="0.43" top="0.75" bottom="0.75" header="0.3" footer="0.3"/>
  <pageSetup scale="82" orientation="landscape" r:id="rId2"/>
  <headerFooter alignWithMargins="0">
    <oddHeader>&amp;L&amp;"Arial,Bold"&amp;14&amp;F&amp;"Arial,Regular"&amp;10
Run on: 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L18"/>
  <sheetViews>
    <sheetView workbookViewId="0">
      <selection activeCell="E17" sqref="E17"/>
    </sheetView>
  </sheetViews>
  <sheetFormatPr defaultColWidth="8.81640625" defaultRowHeight="12.5"/>
  <cols>
    <col min="1" max="1" width="15.81640625" bestFit="1" customWidth="1"/>
    <col min="2" max="2" width="18" customWidth="1"/>
    <col min="3" max="3" width="18.81640625" customWidth="1"/>
    <col min="5" max="5" width="17.26953125" customWidth="1"/>
    <col min="6" max="6" width="16" customWidth="1"/>
    <col min="7" max="7" width="14" customWidth="1"/>
    <col min="8" max="8" width="14.453125" customWidth="1"/>
    <col min="9" max="9" width="16.81640625" customWidth="1"/>
    <col min="10" max="10" width="12.81640625" customWidth="1"/>
    <col min="11" max="11" width="13.26953125" customWidth="1"/>
    <col min="12" max="12" width="14.7265625" customWidth="1"/>
  </cols>
  <sheetData>
    <row r="1" spans="1:12">
      <c r="A1" t="s">
        <v>20</v>
      </c>
      <c r="B1">
        <f ca="1">ROUNDUP((TODAY-FPAY)/360,0)</f>
        <v>6</v>
      </c>
      <c r="F1" s="151">
        <v>40455</v>
      </c>
      <c r="G1" s="151">
        <v>40651</v>
      </c>
      <c r="H1" s="151">
        <v>41008</v>
      </c>
      <c r="I1" s="151">
        <v>41071</v>
      </c>
      <c r="J1" s="151">
        <v>41365</v>
      </c>
      <c r="K1" s="151">
        <v>41428</v>
      </c>
      <c r="L1" s="150" t="s">
        <v>88</v>
      </c>
    </row>
    <row r="2" spans="1:12">
      <c r="A2" s="63" t="s">
        <v>53</v>
      </c>
      <c r="B2" s="130">
        <f>IF(Inputs!M6="ARM",ORATE,rate)</f>
        <v>5.2499999999999998E-2</v>
      </c>
      <c r="F2" s="150">
        <f>IF(FPAY&lt;F1,1,0)</f>
        <v>0</v>
      </c>
      <c r="G2" s="150">
        <f>IF(AND(FPAY&gt;F1,FPAY&lt;=G1),1,0)</f>
        <v>0</v>
      </c>
      <c r="H2" s="150">
        <f>IF(AND(FPAY&gt;G1,FPAY&lt;=H1),1,0)</f>
        <v>0</v>
      </c>
      <c r="I2" s="150">
        <f>IF(AND(FPAY&gt;H1,FPAY&lt;=I1),1,0)</f>
        <v>0</v>
      </c>
      <c r="J2" s="150">
        <f>IF(AND(FPAY&gt;I1,FPAY&lt;=J1),1,0)</f>
        <v>0</v>
      </c>
      <c r="K2" s="150">
        <f>IF(AND(FPAY&gt;J1,FPAY&lt;=K1),1,0)</f>
        <v>0</v>
      </c>
      <c r="L2" s="150">
        <f>IF(FPAY&gt;=K1,1,0)</f>
        <v>1</v>
      </c>
    </row>
    <row r="3" spans="1:12">
      <c r="A3" t="s">
        <v>19</v>
      </c>
      <c r="B3" s="60" t="s">
        <v>18</v>
      </c>
      <c r="C3" t="s">
        <v>17</v>
      </c>
      <c r="E3" t="s">
        <v>87</v>
      </c>
      <c r="F3" s="152">
        <v>2.2499999999999999E-2</v>
      </c>
      <c r="G3" s="153">
        <v>0.01</v>
      </c>
      <c r="H3" s="153">
        <v>0.01</v>
      </c>
      <c r="I3" s="154">
        <v>1.7500000000000002E-2</v>
      </c>
      <c r="J3" s="154">
        <v>1.7500000000000002E-2</v>
      </c>
      <c r="K3" s="154">
        <v>1.7500000000000002E-2</v>
      </c>
      <c r="L3" s="154">
        <v>1.7500000000000002E-2</v>
      </c>
    </row>
    <row r="4" spans="1:12">
      <c r="A4">
        <f ca="1">(B1-1)*12+1</f>
        <v>61</v>
      </c>
      <c r="B4" s="58">
        <f ca="1">IF(A4=1,OPRINC,OPRINC+CUMPRINC($B$2/12,LOANTERM,OPRINC,1,A4-1,0))</f>
        <v>87542.01372046367</v>
      </c>
      <c r="C4" s="59">
        <f ca="1">AVERAGE(B4:B15)</f>
        <v>86751.759221159969</v>
      </c>
      <c r="E4" t="s">
        <v>90</v>
      </c>
      <c r="F4" s="149">
        <f>0.5%</f>
        <v>5.0000000000000001E-3</v>
      </c>
      <c r="G4" s="149">
        <f>IF(C13&gt;95%,0.85%,0.9%)</f>
        <v>9.0000000000000011E-3</v>
      </c>
      <c r="H4" s="149">
        <f>IF(C13&gt;95%,1.1%,1.15%)</f>
        <v>1.15E-2</v>
      </c>
      <c r="I4" s="149">
        <f>IF(C13&gt;95%,1.2%,1.25%)</f>
        <v>1.2500000000000001E-2</v>
      </c>
      <c r="J4" s="149">
        <f>IF(C13&gt;95%,1.2%,1.25%)+IF(OPRINC&gt;(625000-C10),0.25%,0)</f>
        <v>1.2500000000000001E-2</v>
      </c>
      <c r="K4" s="149">
        <f>IF(C13&gt;95%,1.3%,1.35%)+IF(OPRINC&gt;(625000-C10),0.2%,0)</f>
        <v>1.3500000000000002E-2</v>
      </c>
      <c r="L4" s="149">
        <f>IF(C13&gt;95%,1.3%,1.35%)+IF(OPRINC&gt;(625000-C10),0.2%,0)</f>
        <v>1.3500000000000002E-2</v>
      </c>
    </row>
    <row r="5" spans="1:12">
      <c r="A5">
        <f t="shared" ref="A5:A15" ca="1" si="0">A4+1</f>
        <v>62</v>
      </c>
      <c r="B5" s="58">
        <f t="shared" ref="B5:B15" ca="1" si="1">OPRINC+CUMPRINC($B$2/12,LOANTERM,OPRINC,1,A5-1,0)</f>
        <v>87400.416513455901</v>
      </c>
      <c r="E5" t="s">
        <v>92</v>
      </c>
      <c r="F5" s="155">
        <f t="shared" ref="F5:K5" si="2">IF(AND(OVALUE*0.78&lt;(DUPB/(1+UFMIPRATE)),ROUNDUP(DAYS360(FPAY,DDate)/30,0)&gt;60),0,1)</f>
        <v>1</v>
      </c>
      <c r="G5" s="155">
        <f t="shared" si="2"/>
        <v>1</v>
      </c>
      <c r="H5" s="155">
        <f t="shared" si="2"/>
        <v>1</v>
      </c>
      <c r="I5" s="155">
        <f t="shared" si="2"/>
        <v>1</v>
      </c>
      <c r="J5" s="155">
        <f t="shared" si="2"/>
        <v>1</v>
      </c>
      <c r="K5" s="155">
        <f t="shared" si="2"/>
        <v>1</v>
      </c>
      <c r="L5" s="155">
        <f>IF(C13&gt;90%,0,IF(AND(OVALUE*0.78&lt;(DUPB/(1+UFMIPRATE)),ROUNDUP(DAYS360(FPAY,DDate)/30,0)&gt;132),0,1))</f>
        <v>0</v>
      </c>
    </row>
    <row r="6" spans="1:12">
      <c r="A6">
        <f t="shared" ca="1" si="0"/>
        <v>63</v>
      </c>
      <c r="B6" s="58">
        <f t="shared" ca="1" si="1"/>
        <v>87258.199818667461</v>
      </c>
      <c r="C6" t="s">
        <v>16</v>
      </c>
      <c r="F6" s="58"/>
    </row>
    <row r="7" spans="1:12">
      <c r="A7">
        <f t="shared" ca="1" si="0"/>
        <v>64</v>
      </c>
      <c r="B7" s="58">
        <f t="shared" ca="1" si="1"/>
        <v>87115.360925839341</v>
      </c>
      <c r="C7" s="58">
        <f ca="1">MIPRATE*C4/12/(1+UFMIPRATE)*HLOOKUP(1,MIPMATRIX,4,FALSE)</f>
        <v>0</v>
      </c>
      <c r="F7" s="58"/>
      <c r="G7" s="58"/>
    </row>
    <row r="8" spans="1:12">
      <c r="A8">
        <f t="shared" ca="1" si="0"/>
        <v>65</v>
      </c>
      <c r="B8" s="58">
        <f t="shared" ca="1" si="1"/>
        <v>86971.897112855077</v>
      </c>
      <c r="F8" s="58"/>
    </row>
    <row r="9" spans="1:12">
      <c r="A9">
        <f t="shared" ca="1" si="0"/>
        <v>66</v>
      </c>
      <c r="B9" s="58">
        <f t="shared" ca="1" si="1"/>
        <v>86827.805645689019</v>
      </c>
      <c r="C9" t="s">
        <v>91</v>
      </c>
      <c r="F9" s="58"/>
    </row>
    <row r="10" spans="1:12">
      <c r="A10">
        <f t="shared" ca="1" si="0"/>
        <v>67</v>
      </c>
      <c r="B10" s="58">
        <f t="shared" ca="1" si="1"/>
        <v>86683.083778354106</v>
      </c>
      <c r="C10" s="58">
        <f>UFMIPRATE*OPRINC/(1+UFMIPRATE)</f>
        <v>1633.9066339066339</v>
      </c>
      <c r="F10" s="58"/>
    </row>
    <row r="11" spans="1:12">
      <c r="A11">
        <f t="shared" ca="1" si="0"/>
        <v>68</v>
      </c>
      <c r="B11" s="58">
        <f t="shared" ca="1" si="1"/>
        <v>86537.728752849594</v>
      </c>
      <c r="F11" s="58"/>
    </row>
    <row r="12" spans="1:12">
      <c r="A12">
        <f t="shared" ca="1" si="0"/>
        <v>69</v>
      </c>
      <c r="B12" s="58">
        <f t="shared" ca="1" si="1"/>
        <v>86391.737799108509</v>
      </c>
      <c r="C12" t="s">
        <v>85</v>
      </c>
      <c r="F12" s="58"/>
    </row>
    <row r="13" spans="1:12">
      <c r="A13">
        <f t="shared" ca="1" si="0"/>
        <v>70</v>
      </c>
      <c r="B13" s="58">
        <f t="shared" ca="1" si="1"/>
        <v>86245.108134944807</v>
      </c>
      <c r="C13" s="149">
        <f>(OPRINC-C10)/OVALUE</f>
        <v>0.93366093366093361</v>
      </c>
      <c r="F13" s="58"/>
    </row>
    <row r="14" spans="1:12">
      <c r="A14">
        <f t="shared" ca="1" si="0"/>
        <v>71</v>
      </c>
      <c r="B14" s="58">
        <f t="shared" ca="1" si="1"/>
        <v>86097.836966000381</v>
      </c>
      <c r="F14" s="58"/>
    </row>
    <row r="15" spans="1:12">
      <c r="A15">
        <f t="shared" ca="1" si="0"/>
        <v>72</v>
      </c>
      <c r="B15" s="58">
        <f t="shared" ca="1" si="1"/>
        <v>85949.921485691841</v>
      </c>
      <c r="C15" t="s">
        <v>86</v>
      </c>
      <c r="F15" s="58"/>
    </row>
    <row r="16" spans="1:12">
      <c r="C16" s="149">
        <f>DUPB/(OVALUE/(1+UFMIPRATE))</f>
        <v>0.93762350275000006</v>
      </c>
    </row>
    <row r="17" spans="1:2">
      <c r="A17" t="s">
        <v>84</v>
      </c>
      <c r="B17" t="s">
        <v>83</v>
      </c>
    </row>
    <row r="18" spans="1:2">
      <c r="A18">
        <f>HLOOKUP(1,MIPMATRIX,3,FALSE)</f>
        <v>1.3500000000000002E-2</v>
      </c>
      <c r="B18">
        <f>IF(MIPFIN="No",0,HLOOKUP(1,MIPMATRIX,2,FALSE))</f>
        <v>1.7500000000000002E-2</v>
      </c>
    </row>
  </sheetData>
  <dataConsolidate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CC99FF"/>
    <pageSetUpPr autoPageBreaks="0"/>
  </sheetPr>
  <dimension ref="A1:I54"/>
  <sheetViews>
    <sheetView showGridLines="0" zoomScaleNormal="100" workbookViewId="0">
      <selection activeCell="C13" sqref="C13"/>
    </sheetView>
  </sheetViews>
  <sheetFormatPr defaultColWidth="8.81640625" defaultRowHeight="12.5"/>
  <cols>
    <col min="1" max="1" width="18.1796875" customWidth="1"/>
    <col min="2" max="2" width="9" customWidth="1"/>
    <col min="3" max="3" width="23.453125" customWidth="1"/>
    <col min="4" max="4" width="16" customWidth="1"/>
    <col min="5" max="5" width="24.453125" customWidth="1"/>
  </cols>
  <sheetData>
    <row r="1" spans="1:9" ht="17.5">
      <c r="A1" s="171" t="s">
        <v>35</v>
      </c>
      <c r="B1" s="172"/>
      <c r="C1" s="172"/>
      <c r="D1" s="172"/>
      <c r="E1" s="173"/>
    </row>
    <row r="2" spans="1:9" ht="17.5">
      <c r="A2" s="86"/>
      <c r="B2" s="87"/>
      <c r="C2" s="87"/>
      <c r="D2" s="87"/>
      <c r="E2" s="88"/>
    </row>
    <row r="3" spans="1:9">
      <c r="A3" s="79"/>
      <c r="B3" s="80"/>
      <c r="C3" s="80"/>
      <c r="D3" s="80"/>
      <c r="E3" s="81"/>
    </row>
    <row r="4" spans="1:9">
      <c r="A4" s="79"/>
      <c r="B4" s="80"/>
      <c r="E4" s="81"/>
    </row>
    <row r="5" spans="1:9">
      <c r="A5" s="79"/>
      <c r="B5" s="80"/>
      <c r="E5" s="81"/>
    </row>
    <row r="6" spans="1:9">
      <c r="A6" s="79"/>
      <c r="B6" s="80"/>
      <c r="E6" s="81"/>
    </row>
    <row r="7" spans="1:9">
      <c r="A7" s="79"/>
      <c r="B7" s="80"/>
      <c r="E7" s="81"/>
    </row>
    <row r="8" spans="1:9">
      <c r="A8" s="79"/>
      <c r="B8" s="80"/>
      <c r="E8" s="81"/>
      <c r="I8" s="113"/>
    </row>
    <row r="9" spans="1:9">
      <c r="A9" s="79"/>
      <c r="B9" s="80"/>
      <c r="E9" s="81"/>
    </row>
    <row r="10" spans="1:9">
      <c r="A10" s="79"/>
      <c r="B10" s="80"/>
      <c r="E10" s="81"/>
    </row>
    <row r="11" spans="1:9">
      <c r="A11" s="79"/>
      <c r="B11" s="80"/>
      <c r="E11" s="81"/>
    </row>
    <row r="12" spans="1:9">
      <c r="A12" s="79"/>
      <c r="B12" s="80"/>
      <c r="C12" s="80"/>
      <c r="D12" s="80"/>
      <c r="E12" s="81"/>
    </row>
    <row r="13" spans="1:9">
      <c r="A13" s="79"/>
      <c r="B13" s="80"/>
      <c r="C13" s="80"/>
      <c r="D13" s="80"/>
      <c r="E13" s="81"/>
    </row>
    <row r="14" spans="1:9">
      <c r="A14" s="79"/>
      <c r="B14" s="80"/>
      <c r="C14" s="80"/>
      <c r="D14" s="80"/>
      <c r="E14" s="81"/>
    </row>
    <row r="15" spans="1:9">
      <c r="A15" s="125" t="s">
        <v>50</v>
      </c>
      <c r="B15" s="85"/>
      <c r="C15" s="85"/>
      <c r="D15" s="123"/>
      <c r="E15" s="124" t="s">
        <v>49</v>
      </c>
    </row>
    <row r="16" spans="1:9" ht="13">
      <c r="A16" s="121"/>
      <c r="B16" s="80"/>
      <c r="C16" s="80"/>
      <c r="D16" s="80"/>
      <c r="E16" s="122"/>
    </row>
    <row r="18" spans="1:5">
      <c r="A18" s="77"/>
      <c r="B18" s="77"/>
      <c r="C18" s="77"/>
      <c r="D18" s="77"/>
      <c r="E18" s="77"/>
    </row>
    <row r="19" spans="1:5">
      <c r="A19" s="77"/>
      <c r="B19" s="77"/>
      <c r="C19" s="77"/>
      <c r="D19" s="77"/>
      <c r="E19" s="77"/>
    </row>
    <row r="20" spans="1:5">
      <c r="A20" s="77"/>
      <c r="B20" s="77"/>
      <c r="C20" s="77"/>
      <c r="D20" s="77"/>
      <c r="E20" s="77"/>
    </row>
    <row r="21" spans="1:5">
      <c r="A21" s="77"/>
      <c r="B21" s="77"/>
      <c r="C21" s="77"/>
      <c r="D21" s="77"/>
      <c r="E21" s="77"/>
    </row>
    <row r="22" spans="1:5">
      <c r="A22" s="77"/>
      <c r="B22" s="77"/>
      <c r="C22" s="77"/>
      <c r="D22" s="77"/>
      <c r="E22" s="77"/>
    </row>
    <row r="23" spans="1:5">
      <c r="A23" s="77"/>
      <c r="B23" s="77"/>
      <c r="C23" s="77"/>
      <c r="D23" s="77"/>
      <c r="E23" s="77"/>
    </row>
    <row r="24" spans="1:5">
      <c r="A24" s="77"/>
      <c r="B24" s="77"/>
      <c r="C24" s="77"/>
      <c r="D24" s="77"/>
      <c r="E24" s="77"/>
    </row>
    <row r="25" spans="1:5">
      <c r="A25" s="77"/>
      <c r="B25" s="77"/>
      <c r="C25" s="77"/>
      <c r="D25" s="77"/>
      <c r="E25" s="77"/>
    </row>
    <row r="26" spans="1:5">
      <c r="A26" s="77"/>
      <c r="B26" s="77"/>
      <c r="C26" s="77"/>
      <c r="D26" s="77"/>
      <c r="E26" s="77"/>
    </row>
    <row r="27" spans="1:5">
      <c r="A27" s="77"/>
      <c r="B27" s="77"/>
      <c r="C27" s="77"/>
      <c r="D27" s="77"/>
      <c r="E27" s="77"/>
    </row>
    <row r="28" spans="1:5">
      <c r="A28" s="77"/>
      <c r="B28" s="77"/>
      <c r="C28" s="77"/>
      <c r="D28" s="77"/>
      <c r="E28" s="77"/>
    </row>
    <row r="29" spans="1:5">
      <c r="A29" s="77"/>
      <c r="B29" s="77"/>
      <c r="C29" s="77"/>
      <c r="D29" s="77"/>
      <c r="E29" s="77"/>
    </row>
    <row r="30" spans="1:5">
      <c r="A30" s="77"/>
      <c r="B30" s="77"/>
      <c r="C30" s="77"/>
      <c r="D30" s="77"/>
      <c r="E30" s="77"/>
    </row>
    <row r="31" spans="1:5">
      <c r="A31" s="77"/>
      <c r="B31" s="77"/>
      <c r="C31" s="77"/>
      <c r="D31" s="77"/>
      <c r="E31" s="77"/>
    </row>
    <row r="32" spans="1:5">
      <c r="A32" s="77"/>
      <c r="B32" s="77"/>
      <c r="C32" s="77"/>
      <c r="D32" s="77"/>
      <c r="E32" s="77"/>
    </row>
    <row r="33" spans="1:5">
      <c r="A33" s="77"/>
      <c r="B33" s="77"/>
      <c r="C33" s="77"/>
      <c r="D33" s="77"/>
      <c r="E33" s="77"/>
    </row>
    <row r="34" spans="1:5">
      <c r="A34" s="77"/>
      <c r="B34" s="77"/>
      <c r="C34" s="77"/>
      <c r="D34" s="77"/>
      <c r="E34" s="77"/>
    </row>
    <row r="35" spans="1:5">
      <c r="A35" s="77"/>
      <c r="B35" s="77"/>
      <c r="C35" s="77"/>
      <c r="D35" s="77"/>
      <c r="E35" s="77"/>
    </row>
    <row r="36" spans="1:5">
      <c r="A36" s="77"/>
      <c r="B36" s="77"/>
      <c r="C36" s="77"/>
      <c r="D36" s="77"/>
      <c r="E36" s="77"/>
    </row>
    <row r="37" spans="1:5">
      <c r="A37" s="77"/>
      <c r="B37" s="77"/>
      <c r="C37" s="77"/>
      <c r="D37" s="77"/>
      <c r="E37" s="77"/>
    </row>
    <row r="38" spans="1:5">
      <c r="A38" s="77"/>
      <c r="B38" s="77"/>
      <c r="C38" s="77"/>
      <c r="D38" s="77"/>
      <c r="E38" s="77"/>
    </row>
    <row r="39" spans="1:5">
      <c r="A39" s="77"/>
      <c r="B39" s="77"/>
      <c r="C39" s="77"/>
      <c r="D39" s="77"/>
      <c r="E39" s="77"/>
    </row>
    <row r="40" spans="1:5">
      <c r="A40" s="77"/>
      <c r="B40" s="77"/>
      <c r="C40" s="77"/>
      <c r="D40" s="77"/>
      <c r="E40" s="77"/>
    </row>
    <row r="41" spans="1:5">
      <c r="A41" s="77"/>
      <c r="B41" s="77"/>
      <c r="C41" s="77"/>
      <c r="D41" s="77"/>
      <c r="E41" s="77"/>
    </row>
    <row r="42" spans="1:5">
      <c r="A42" s="77"/>
      <c r="B42" s="77"/>
      <c r="C42" s="77"/>
      <c r="D42" s="77"/>
      <c r="E42" s="77"/>
    </row>
    <row r="43" spans="1:5">
      <c r="A43" s="77"/>
      <c r="B43" s="77"/>
      <c r="C43" s="77"/>
      <c r="D43" s="77"/>
      <c r="E43" s="77"/>
    </row>
    <row r="44" spans="1:5">
      <c r="A44" s="77"/>
      <c r="B44" s="77"/>
      <c r="C44" s="77"/>
      <c r="D44" s="77"/>
      <c r="E44" s="77"/>
    </row>
    <row r="45" spans="1:5">
      <c r="A45" s="77"/>
      <c r="B45" s="77"/>
      <c r="C45" s="77"/>
      <c r="D45" s="77"/>
      <c r="E45" s="77"/>
    </row>
    <row r="46" spans="1:5">
      <c r="A46" s="77"/>
      <c r="B46" s="77"/>
      <c r="C46" s="77"/>
      <c r="D46" s="77"/>
      <c r="E46" s="77"/>
    </row>
    <row r="47" spans="1:5">
      <c r="A47" s="77"/>
      <c r="B47" s="77"/>
      <c r="C47" s="77"/>
      <c r="D47" s="77"/>
      <c r="E47" s="77"/>
    </row>
    <row r="48" spans="1:5">
      <c r="A48" s="77"/>
      <c r="B48" s="77"/>
      <c r="C48" s="77"/>
      <c r="D48" s="77"/>
      <c r="E48" s="77"/>
    </row>
    <row r="49" spans="1:5">
      <c r="A49" s="77"/>
      <c r="B49" s="77"/>
      <c r="C49" s="77"/>
      <c r="D49" s="77"/>
      <c r="E49" s="77"/>
    </row>
    <row r="50" spans="1:5">
      <c r="A50" s="77"/>
      <c r="B50" s="77"/>
      <c r="C50" s="77"/>
      <c r="D50" s="77"/>
      <c r="E50" s="77"/>
    </row>
    <row r="51" spans="1:5">
      <c r="A51" s="77"/>
      <c r="B51" s="77"/>
      <c r="C51" s="77"/>
      <c r="D51" s="77"/>
      <c r="E51" s="77"/>
    </row>
    <row r="52" spans="1:5">
      <c r="A52" s="77"/>
      <c r="B52" s="77"/>
      <c r="C52" s="77"/>
      <c r="D52" s="77"/>
      <c r="E52" s="77"/>
    </row>
    <row r="53" spans="1:5">
      <c r="A53" s="77"/>
      <c r="B53" s="77"/>
      <c r="C53" s="77"/>
      <c r="D53" s="77"/>
      <c r="E53" s="77"/>
    </row>
    <row r="54" spans="1:5">
      <c r="A54" s="77"/>
      <c r="B54" s="77"/>
      <c r="C54" s="77"/>
      <c r="D54" s="77"/>
      <c r="E54" s="77"/>
    </row>
  </sheetData>
  <mergeCells count="1">
    <mergeCell ref="A1:E1"/>
  </mergeCells>
  <pageMargins left="0.7" right="0.7" top="0.75" bottom="0.75" header="0.3" footer="0.3"/>
  <pageSetup orientation="portrait" r:id="rId1"/>
  <headerFooter>
    <oddHeader>&amp;L&amp;"Arial,Bold"&amp;14&amp;F&amp;"Arial,Regular"&amp;10
Run on: 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20"/>
  <sheetViews>
    <sheetView workbookViewId="0">
      <selection activeCell="B5" sqref="B5"/>
    </sheetView>
  </sheetViews>
  <sheetFormatPr defaultColWidth="8.81640625" defaultRowHeight="12.5"/>
  <cols>
    <col min="1" max="1" width="26.7265625" customWidth="1"/>
    <col min="2" max="2" width="16.7265625" customWidth="1"/>
    <col min="5" max="5" width="12.54296875" customWidth="1"/>
    <col min="6" max="6" width="16.1796875" customWidth="1"/>
    <col min="7" max="7" width="13.54296875" customWidth="1"/>
    <col min="8" max="8" width="21.1796875" customWidth="1"/>
    <col min="9" max="9" width="15.81640625" customWidth="1"/>
    <col min="10" max="10" width="21" customWidth="1"/>
    <col min="11" max="11" width="25.453125" customWidth="1"/>
    <col min="12" max="12" width="11.26953125" customWidth="1"/>
  </cols>
  <sheetData>
    <row r="1" spans="1:12">
      <c r="A1" s="63" t="s">
        <v>24</v>
      </c>
      <c r="B1">
        <f ca="1">IF(AND('FHA Waterfall'!F8="Yes"),1,0)</f>
        <v>1</v>
      </c>
      <c r="E1" s="189" t="s">
        <v>65</v>
      </c>
      <c r="F1" s="189"/>
      <c r="G1" s="189"/>
      <c r="H1" s="189"/>
      <c r="I1" s="189"/>
      <c r="J1" s="189"/>
      <c r="K1" s="189"/>
      <c r="L1" s="189"/>
    </row>
    <row r="2" spans="1:12">
      <c r="A2" s="63" t="s">
        <v>25</v>
      </c>
      <c r="B2">
        <f ca="1">IF(AND(StepFour,'FHA Waterfall'!F15="No"),1,0)</f>
        <v>1</v>
      </c>
      <c r="E2" s="63"/>
      <c r="F2" s="63" t="s">
        <v>66</v>
      </c>
      <c r="G2" s="63" t="s">
        <v>67</v>
      </c>
      <c r="H2" s="63" t="s">
        <v>68</v>
      </c>
      <c r="I2" s="63" t="s">
        <v>69</v>
      </c>
      <c r="J2" s="63" t="s">
        <v>70</v>
      </c>
      <c r="K2" s="63" t="s">
        <v>71</v>
      </c>
      <c r="L2" s="63" t="s">
        <v>34</v>
      </c>
    </row>
    <row r="3" spans="1:12">
      <c r="A3" s="63" t="s">
        <v>61</v>
      </c>
      <c r="B3">
        <f ca="1">IF(OR('FHA Waterfall'!F8="no",StepFive),1,0)</f>
        <v>1</v>
      </c>
      <c r="D3">
        <v>1</v>
      </c>
      <c r="F3">
        <f ca="1">GFORB</f>
        <v>0</v>
      </c>
      <c r="G3">
        <f>GTM</f>
        <v>0</v>
      </c>
      <c r="H3">
        <f ca="1">GSAPC</f>
        <v>0</v>
      </c>
      <c r="I3">
        <f ca="1">GSAHM</f>
        <v>1</v>
      </c>
      <c r="J3">
        <f ca="1">B12</f>
        <v>0</v>
      </c>
      <c r="K3">
        <f ca="1">B13</f>
        <v>0</v>
      </c>
      <c r="L3">
        <f ca="1">NoMod</f>
        <v>0</v>
      </c>
    </row>
    <row r="4" spans="1:12">
      <c r="A4" s="63" t="s">
        <v>104</v>
      </c>
      <c r="B4">
        <f ca="1">IF(AND(DSAHM,GSAHM=0),1,0)</f>
        <v>0</v>
      </c>
      <c r="D4">
        <v>2</v>
      </c>
      <c r="E4" s="63" t="s">
        <v>72</v>
      </c>
      <c r="F4" s="63" t="s">
        <v>73</v>
      </c>
      <c r="G4" s="63" t="s">
        <v>82</v>
      </c>
      <c r="H4" s="63" t="s">
        <v>74</v>
      </c>
      <c r="I4" s="63" t="s">
        <v>75</v>
      </c>
      <c r="J4" s="63" t="s">
        <v>76</v>
      </c>
      <c r="K4" t="str">
        <f>J4</f>
        <v>FHA-HAMP Modification with Partial Claim</v>
      </c>
      <c r="L4" s="63" t="s">
        <v>77</v>
      </c>
    </row>
    <row r="5" spans="1:12">
      <c r="A5" s="63" t="s">
        <v>62</v>
      </c>
      <c r="B5">
        <f ca="1">IF(AND(DSAPC,NOT(GSAPC)),1,0)</f>
        <v>0</v>
      </c>
      <c r="D5">
        <v>3</v>
      </c>
      <c r="E5" s="63" t="s">
        <v>4</v>
      </c>
      <c r="G5" s="59" t="e">
        <f>'FHA Waterfall'!#REF!</f>
        <v>#REF!</v>
      </c>
      <c r="H5" s="59">
        <f ca="1">Inputs!M22</f>
        <v>772.39351703480338</v>
      </c>
      <c r="I5" s="59">
        <f ca="1">'FHA Waterfall'!F36</f>
        <v>690.9535404738092</v>
      </c>
      <c r="J5" s="58">
        <f ca="1">Target</f>
        <v>750</v>
      </c>
      <c r="K5" s="59">
        <f ca="1">'FHA Waterfall'!N19</f>
        <v>562.92561030732372</v>
      </c>
      <c r="L5" s="59">
        <f ca="1">2.5*'FHA Waterfall'!N19</f>
        <v>1407.3140257683094</v>
      </c>
    </row>
    <row r="6" spans="1:12">
      <c r="A6" s="63" t="s">
        <v>63</v>
      </c>
      <c r="B6">
        <f ca="1">IF(AND(DMPC,NOT(B12)),1,0)</f>
        <v>0</v>
      </c>
      <c r="D6">
        <v>4</v>
      </c>
      <c r="E6" s="63" t="s">
        <v>78</v>
      </c>
      <c r="G6" s="59" t="e">
        <f ca="1">G5-TIA</f>
        <v>#REF!</v>
      </c>
      <c r="H6" s="59">
        <f ca="1">H5-TIA</f>
        <v>524.59351703480343</v>
      </c>
      <c r="I6" s="59">
        <f ca="1">I5-TIA</f>
        <v>443.15354047380924</v>
      </c>
      <c r="J6" s="59">
        <f ca="1">J5-TIA</f>
        <v>502.20000000000005</v>
      </c>
      <c r="K6" s="59">
        <f ca="1">K5-TIA</f>
        <v>315.12561030732377</v>
      </c>
    </row>
    <row r="7" spans="1:12">
      <c r="A7" s="63"/>
      <c r="D7">
        <v>5</v>
      </c>
      <c r="E7" s="63" t="s">
        <v>79</v>
      </c>
      <c r="G7" s="58">
        <f ca="1">CAPUPB</f>
        <v>95689.618000000002</v>
      </c>
      <c r="H7" s="147">
        <f ca="1">CAPUPB-H8</f>
        <v>91827.650414825985</v>
      </c>
      <c r="I7" s="58">
        <f ca="1">CAPUPB</f>
        <v>95689.618000000002</v>
      </c>
      <c r="J7" s="59">
        <f ca="1">CAPUPB-'FHA Waterfall'!N13</f>
        <v>108439.44992117345</v>
      </c>
      <c r="K7" s="59">
        <f ca="1">CAPUPB-'FHA Waterfall'!F31</f>
        <v>68044.699000000008</v>
      </c>
    </row>
    <row r="8" spans="1:12">
      <c r="A8" s="63" t="s">
        <v>30</v>
      </c>
      <c r="B8">
        <f ca="1">IF(AND(StepFour,'FHA Waterfall'!F15="Yes"),1,0)</f>
        <v>0</v>
      </c>
      <c r="D8">
        <v>6</v>
      </c>
      <c r="E8" s="63" t="s">
        <v>31</v>
      </c>
      <c r="G8">
        <v>0</v>
      </c>
      <c r="H8" s="113">
        <f ca="1">Inputs!M30*Inputs!M22</f>
        <v>3861.9675851740167</v>
      </c>
      <c r="I8">
        <v>0</v>
      </c>
      <c r="J8" s="59">
        <f ca="1">CAPUPB-J7</f>
        <v>-12749.831921173449</v>
      </c>
      <c r="K8" s="59">
        <f ca="1">CAPUPB-K7</f>
        <v>27644.918999999994</v>
      </c>
    </row>
    <row r="9" spans="1:12">
      <c r="A9" s="63" t="s">
        <v>46</v>
      </c>
      <c r="B9">
        <f>0</f>
        <v>0</v>
      </c>
      <c r="D9">
        <v>7</v>
      </c>
      <c r="E9" s="63" t="s">
        <v>80</v>
      </c>
      <c r="G9">
        <f>Market</f>
        <v>3.7499999999999999E-2</v>
      </c>
      <c r="H9">
        <f>rate</f>
        <v>5.2499999999999998E-2</v>
      </c>
      <c r="I9">
        <f>Market</f>
        <v>3.7499999999999999E-2</v>
      </c>
      <c r="J9">
        <f>Market</f>
        <v>3.7499999999999999E-2</v>
      </c>
      <c r="K9">
        <f>Market</f>
        <v>3.7499999999999999E-2</v>
      </c>
    </row>
    <row r="10" spans="1:12">
      <c r="A10" s="63" t="s">
        <v>60</v>
      </c>
      <c r="B10">
        <f ca="1">IF(AND(B3,'FHA Waterfall'!F37="Yes"),1,0)</f>
        <v>1</v>
      </c>
      <c r="D10">
        <v>8</v>
      </c>
      <c r="E10" s="63" t="s">
        <v>81</v>
      </c>
      <c r="G10">
        <v>360</v>
      </c>
      <c r="H10">
        <f ca="1">LOANTERM-ROUNDUP(DAYS360(FPAY,TODAY)/30,0)</f>
        <v>299</v>
      </c>
      <c r="I10">
        <v>360</v>
      </c>
      <c r="J10">
        <v>360</v>
      </c>
      <c r="K10">
        <v>360</v>
      </c>
    </row>
    <row r="11" spans="1:12">
      <c r="A11" s="63" t="s">
        <v>28</v>
      </c>
      <c r="B11">
        <f ca="1">IF(AND(StepSix,'FHA Waterfall'!N8="Yes"),1,0)</f>
        <v>0</v>
      </c>
    </row>
    <row r="12" spans="1:12">
      <c r="A12" s="63" t="s">
        <v>27</v>
      </c>
      <c r="B12">
        <f ca="1">IF(AND(DMPC,'FHA Waterfall'!N15="Yes"),1,0)</f>
        <v>0</v>
      </c>
    </row>
    <row r="13" spans="1:12">
      <c r="A13" s="63" t="s">
        <v>29</v>
      </c>
      <c r="B13">
        <f ca="1">IF(AND(DMWIP,'FHA Waterfall'!N21="Yes"),1,0)</f>
        <v>0</v>
      </c>
    </row>
    <row r="14" spans="1:12">
      <c r="A14" s="63" t="s">
        <v>34</v>
      </c>
      <c r="B14">
        <f ca="1">IF(SUM(B8:B13)=0,1,0)</f>
        <v>0</v>
      </c>
    </row>
    <row r="15" spans="1:12">
      <c r="A15" s="63"/>
    </row>
    <row r="17" spans="1:2">
      <c r="A17" s="63" t="s">
        <v>58</v>
      </c>
      <c r="B17">
        <f>IF(Payoff="Only Default Date",1,IF(Payoff="UPB at Default",2,IF(Payoff="Capitalized UPB",3)))</f>
        <v>2</v>
      </c>
    </row>
    <row r="20" spans="1:2">
      <c r="A20" s="63" t="s">
        <v>98</v>
      </c>
      <c r="B20" s="160">
        <f ca="1">DUPB+Inputs!M38</f>
        <v>95689.618000000002</v>
      </c>
    </row>
  </sheetData>
  <mergeCells count="1">
    <mergeCell ref="E1:L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615635221324388FC5E6FF9FDFEDF" ma:contentTypeVersion="16" ma:contentTypeDescription="Create a new document." ma:contentTypeScope="" ma:versionID="b6e7607d721af44490d50d9cd3f5cb9d">
  <xsd:schema xmlns:xsd="http://www.w3.org/2001/XMLSchema" xmlns:xs="http://www.w3.org/2001/XMLSchema" xmlns:p="http://schemas.microsoft.com/office/2006/metadata/properties" xmlns:ns2="499f3542-0688-476c-b09c-0c039bfdd880" xmlns:ns3="d4b49695-86d2-4524-9ca1-043c44a2ad66" targetNamespace="http://schemas.microsoft.com/office/2006/metadata/properties" ma:root="true" ma:fieldsID="058fea76a43a2c2c67b241f18533c3dd" ns2:_="" ns3:_="">
    <xsd:import namespace="499f3542-0688-476c-b09c-0c039bfdd880"/>
    <xsd:import namespace="d4b49695-86d2-4524-9ca1-043c44a2ad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ate" minOccurs="0"/>
                <xsd:element ref="ns2:Date_x0021_" minOccurs="0"/>
                <xsd:element ref="ns2:Text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3542-0688-476c-b09c-0c039bfdd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Date" ma:index="19" nillable="true" ma:displayName="Date" ma:format="DateOnly" ma:internalName="Date">
      <xsd:simpleType>
        <xsd:restriction base="dms:DateTime"/>
      </xsd:simpleType>
    </xsd:element>
    <xsd:element name="Date_x0021_" ma:index="20" nillable="true" ma:displayName="Date!" ma:format="DateOnly" ma:internalName="Date_x0021_">
      <xsd:simpleType>
        <xsd:restriction base="dms:DateTime"/>
      </xsd:simpleType>
    </xsd:element>
    <xsd:element name="Text" ma:index="21" nillable="true" ma:displayName="Text" ma:format="Dropdown" ma:internalName="Text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49695-86d2-4524-9ca1-043c44a2a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1_ xmlns="499f3542-0688-476c-b09c-0c039bfdd880" xsi:nil="true"/>
    <Text xmlns="499f3542-0688-476c-b09c-0c039bfdd880" xsi:nil="true"/>
    <Date xmlns="499f3542-0688-476c-b09c-0c039bfdd88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80FBEB-DB5D-4D2B-9E8B-02A095387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f3542-0688-476c-b09c-0c039bfdd880"/>
    <ds:schemaRef ds:uri="d4b49695-86d2-4524-9ca1-043c44a2a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EECFBE-57BB-4014-8493-77DD3FAB3C5A}">
  <ds:schemaRefs>
    <ds:schemaRef ds:uri="http://schemas.microsoft.com/office/2006/metadata/properties"/>
    <ds:schemaRef ds:uri="http://schemas.microsoft.com/office/infopath/2007/PartnerControls"/>
    <ds:schemaRef ds:uri="499f3542-0688-476c-b09c-0c039bfdd880"/>
  </ds:schemaRefs>
</ds:datastoreItem>
</file>

<file path=customXml/itemProps3.xml><?xml version="1.0" encoding="utf-8"?>
<ds:datastoreItem xmlns:ds="http://schemas.openxmlformats.org/officeDocument/2006/customXml" ds:itemID="{2E70357F-677A-4612-BF83-A02D120004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39</vt:i4>
      </vt:variant>
    </vt:vector>
  </HeadingPairs>
  <TitlesOfParts>
    <vt:vector size="44" baseType="lpstr">
      <vt:lpstr>Inputs</vt:lpstr>
      <vt:lpstr>FHA Waterfall</vt:lpstr>
      <vt:lpstr>MIP Calculator</vt:lpstr>
      <vt:lpstr>Workout Result</vt:lpstr>
      <vt:lpstr>Data Validation</vt:lpstr>
      <vt:lpstr>CAPUPB</vt:lpstr>
      <vt:lpstr>DDate</vt:lpstr>
      <vt:lpstr>DMPC</vt:lpstr>
      <vt:lpstr>DMWIP</vt:lpstr>
      <vt:lpstr>DSAHM</vt:lpstr>
      <vt:lpstr>DSAPC</vt:lpstr>
      <vt:lpstr>DUPB</vt:lpstr>
      <vt:lpstr>FPAY</vt:lpstr>
      <vt:lpstr>GFORB</vt:lpstr>
      <vt:lpstr>GMI</vt:lpstr>
      <vt:lpstr>GSAHM</vt:lpstr>
      <vt:lpstr>GSAPC</vt:lpstr>
      <vt:lpstr>GTM</vt:lpstr>
      <vt:lpstr>infotype</vt:lpstr>
      <vt:lpstr>LOANTERM</vt:lpstr>
      <vt:lpstr>Market</vt:lpstr>
      <vt:lpstr>MIP</vt:lpstr>
      <vt:lpstr>MIPFIN</vt:lpstr>
      <vt:lpstr>MIPMATRIX</vt:lpstr>
      <vt:lpstr>MIPRATE</vt:lpstr>
      <vt:lpstr>NoMod</vt:lpstr>
      <vt:lpstr>NPRINC</vt:lpstr>
      <vt:lpstr>NRATE</vt:lpstr>
      <vt:lpstr>NTERM</vt:lpstr>
      <vt:lpstr>OPRINC</vt:lpstr>
      <vt:lpstr>ORATE</vt:lpstr>
      <vt:lpstr>OutcomeMatrix</vt:lpstr>
      <vt:lpstr>OVALUE</vt:lpstr>
      <vt:lpstr>Payoff</vt:lpstr>
      <vt:lpstr>'FHA Waterfall'!Print_Area</vt:lpstr>
      <vt:lpstr>rate</vt:lpstr>
      <vt:lpstr>StepFive</vt:lpstr>
      <vt:lpstr>StepFour</vt:lpstr>
      <vt:lpstr>StepSix</vt:lpstr>
      <vt:lpstr>Target</vt:lpstr>
      <vt:lpstr>Inputs!TERM</vt:lpstr>
      <vt:lpstr>TIA</vt:lpstr>
      <vt:lpstr>TODAY</vt:lpstr>
      <vt:lpstr>UFMIPRATE</vt:lpstr>
    </vt:vector>
  </TitlesOfParts>
  <Company>Eastside Community Development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MFY Legal Services, Inc.</dc:creator>
  <cp:lastModifiedBy>Joseph Rebella</cp:lastModifiedBy>
  <cp:lastPrinted>2017-03-23T16:05:56Z</cp:lastPrinted>
  <dcterms:created xsi:type="dcterms:W3CDTF">2010-03-17T18:01:29Z</dcterms:created>
  <dcterms:modified xsi:type="dcterms:W3CDTF">2021-06-21T13:24:42Z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0x010100CDB615635221324388FC5E6FF9FDFEDF</vt:lpwstr>
  </property>
  <property fmtid="{D5CDD505-2E9C-101B-9397-08002B2CF9AE}" pid="3" name="Order">
    <vt:r8>64791600</vt:r8>
  </property>
</Properties>
</file>